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\\pandrfs\Policy and Research\KEGAN\Reporting Duties\Motor Fuel Activity Reports\7a Motor Fuel Activity\"/>
    </mc:Choice>
  </mc:AlternateContent>
  <xr:revisionPtr revIDLastSave="0" documentId="13_ncr:1_{FC6DDD34-CD8D-47F8-958C-13FDD332617F}" xr6:coauthVersionLast="46" xr6:coauthVersionMax="46" xr10:uidLastSave="{00000000-0000-0000-0000-000000000000}"/>
  <bookViews>
    <workbookView xWindow="2910" yWindow="900" windowWidth="24330" windowHeight="132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3" i="1" l="1"/>
  <c r="F83" i="1"/>
  <c r="B83" i="1"/>
  <c r="J61" i="1"/>
  <c r="F61" i="1"/>
  <c r="B61" i="1"/>
  <c r="W41" i="1"/>
  <c r="S41" i="1"/>
  <c r="O41" i="1"/>
  <c r="J41" i="1"/>
  <c r="F41" i="1"/>
  <c r="B41" i="1"/>
  <c r="P39" i="1"/>
  <c r="H23" i="1"/>
  <c r="F23" i="1"/>
  <c r="C23" i="1"/>
  <c r="B23" i="1"/>
  <c r="W21" i="1"/>
  <c r="S21" i="1"/>
  <c r="O21" i="1"/>
  <c r="K21" i="1"/>
  <c r="J21" i="1"/>
  <c r="G21" i="1"/>
  <c r="F21" i="1"/>
  <c r="B21" i="1"/>
  <c r="L41" i="1"/>
  <c r="J63" i="1"/>
  <c r="G61" i="1"/>
  <c r="K41" i="1"/>
  <c r="C41" i="1"/>
  <c r="J23" i="1"/>
  <c r="G23" i="1"/>
  <c r="C21" i="1"/>
  <c r="P11" i="1"/>
  <c r="D17" i="1" l="1"/>
  <c r="G41" i="1" l="1"/>
  <c r="C83" i="1"/>
  <c r="W27" i="1" l="1"/>
  <c r="X33" i="1" l="1"/>
  <c r="X36" i="1"/>
  <c r="C61" i="1" l="1"/>
  <c r="J84" i="1" l="1"/>
  <c r="K85" i="1"/>
  <c r="J85" i="1"/>
  <c r="G85" i="1"/>
  <c r="F85" i="1"/>
  <c r="C85" i="1"/>
  <c r="B85" i="1"/>
  <c r="B84" i="1" s="1"/>
  <c r="K83" i="1"/>
  <c r="G83" i="1"/>
  <c r="X41" i="1" s="1"/>
  <c r="K82" i="1"/>
  <c r="J82" i="1"/>
  <c r="G82" i="1"/>
  <c r="F82" i="1"/>
  <c r="C82" i="1"/>
  <c r="B82" i="1"/>
  <c r="L80" i="1"/>
  <c r="H80" i="1"/>
  <c r="D80" i="1"/>
  <c r="L79" i="1"/>
  <c r="H79" i="1"/>
  <c r="D79" i="1"/>
  <c r="L78" i="1"/>
  <c r="H78" i="1"/>
  <c r="D78" i="1"/>
  <c r="L77" i="1"/>
  <c r="H77" i="1"/>
  <c r="D77" i="1"/>
  <c r="L76" i="1"/>
  <c r="H76" i="1"/>
  <c r="D76" i="1"/>
  <c r="L75" i="1"/>
  <c r="H75" i="1"/>
  <c r="D75" i="1"/>
  <c r="L74" i="1"/>
  <c r="H74" i="1"/>
  <c r="D74" i="1"/>
  <c r="L73" i="1"/>
  <c r="H73" i="1"/>
  <c r="D73" i="1"/>
  <c r="L72" i="1"/>
  <c r="H72" i="1"/>
  <c r="D72" i="1"/>
  <c r="L71" i="1"/>
  <c r="H71" i="1"/>
  <c r="D71" i="1"/>
  <c r="L70" i="1"/>
  <c r="H70" i="1"/>
  <c r="D70" i="1"/>
  <c r="L69" i="1"/>
  <c r="H69" i="1"/>
  <c r="D69" i="1"/>
  <c r="L68" i="1"/>
  <c r="H68" i="1"/>
  <c r="G63" i="1"/>
  <c r="F63" i="1"/>
  <c r="F62" i="1" s="1"/>
  <c r="C63" i="1"/>
  <c r="B63" i="1"/>
  <c r="B62" i="1" s="1"/>
  <c r="K60" i="1"/>
  <c r="J60" i="1"/>
  <c r="G60" i="1"/>
  <c r="F60" i="1"/>
  <c r="C60" i="1"/>
  <c r="B60" i="1"/>
  <c r="K58" i="1"/>
  <c r="J58" i="1"/>
  <c r="H58" i="1"/>
  <c r="D58" i="1"/>
  <c r="K57" i="1"/>
  <c r="J57" i="1"/>
  <c r="H57" i="1"/>
  <c r="D57" i="1"/>
  <c r="K56" i="1"/>
  <c r="J56" i="1"/>
  <c r="H56" i="1"/>
  <c r="D56" i="1"/>
  <c r="K55" i="1"/>
  <c r="J55" i="1"/>
  <c r="H55" i="1"/>
  <c r="D55" i="1"/>
  <c r="K54" i="1"/>
  <c r="J54" i="1"/>
  <c r="H54" i="1"/>
  <c r="D54" i="1"/>
  <c r="K53" i="1"/>
  <c r="J53" i="1"/>
  <c r="H53" i="1"/>
  <c r="D53" i="1"/>
  <c r="K52" i="1"/>
  <c r="J52" i="1"/>
  <c r="H52" i="1"/>
  <c r="D52" i="1"/>
  <c r="K51" i="1"/>
  <c r="J51" i="1"/>
  <c r="H51" i="1"/>
  <c r="D51" i="1"/>
  <c r="K50" i="1"/>
  <c r="J50" i="1"/>
  <c r="H50" i="1"/>
  <c r="D50" i="1"/>
  <c r="K49" i="1"/>
  <c r="J49" i="1"/>
  <c r="H49" i="1"/>
  <c r="D49" i="1"/>
  <c r="K48" i="1"/>
  <c r="J48" i="1"/>
  <c r="H48" i="1"/>
  <c r="D48" i="1"/>
  <c r="K47" i="1"/>
  <c r="J47" i="1"/>
  <c r="H47" i="1"/>
  <c r="D47" i="1"/>
  <c r="K46" i="1"/>
  <c r="J46" i="1"/>
  <c r="G46" i="1"/>
  <c r="C68" i="1" s="1"/>
  <c r="G68" i="1" s="1"/>
  <c r="K68" i="1" s="1"/>
  <c r="F46" i="1"/>
  <c r="B68" i="1" s="1"/>
  <c r="F68" i="1" s="1"/>
  <c r="J68" i="1" s="1"/>
  <c r="C46" i="1"/>
  <c r="B46" i="1"/>
  <c r="K43" i="1"/>
  <c r="J43" i="1"/>
  <c r="G43" i="1"/>
  <c r="F43" i="1"/>
  <c r="F42" i="1" s="1"/>
  <c r="C43" i="1"/>
  <c r="B43" i="1"/>
  <c r="A43" i="1"/>
  <c r="A63" i="1" s="1"/>
  <c r="A42" i="1"/>
  <c r="A62" i="1" s="1"/>
  <c r="L43" i="1"/>
  <c r="L42" i="1" s="1"/>
  <c r="J42" i="1"/>
  <c r="X40" i="1"/>
  <c r="W40" i="1"/>
  <c r="T40" i="1"/>
  <c r="S40" i="1"/>
  <c r="P40" i="1"/>
  <c r="O40" i="1"/>
  <c r="G40" i="1"/>
  <c r="F40" i="1"/>
  <c r="C40" i="1"/>
  <c r="B40" i="1"/>
  <c r="X38" i="1"/>
  <c r="W38" i="1"/>
  <c r="T38" i="1"/>
  <c r="S38" i="1"/>
  <c r="P38" i="1"/>
  <c r="O38" i="1"/>
  <c r="H38" i="1"/>
  <c r="D38" i="1"/>
  <c r="X37" i="1"/>
  <c r="W37" i="1"/>
  <c r="T37" i="1"/>
  <c r="S37" i="1"/>
  <c r="P37" i="1"/>
  <c r="O37" i="1"/>
  <c r="H37" i="1"/>
  <c r="D37" i="1"/>
  <c r="W36" i="1"/>
  <c r="T36" i="1"/>
  <c r="S36" i="1"/>
  <c r="P36" i="1"/>
  <c r="O36" i="1"/>
  <c r="H36" i="1"/>
  <c r="D36" i="1"/>
  <c r="X35" i="1"/>
  <c r="W35" i="1"/>
  <c r="T35" i="1"/>
  <c r="S35" i="1"/>
  <c r="P35" i="1"/>
  <c r="O35" i="1"/>
  <c r="H35" i="1"/>
  <c r="D35" i="1"/>
  <c r="X34" i="1"/>
  <c r="W34" i="1"/>
  <c r="T34" i="1"/>
  <c r="S34" i="1"/>
  <c r="P34" i="1"/>
  <c r="O34" i="1"/>
  <c r="H34" i="1"/>
  <c r="D34" i="1"/>
  <c r="W33" i="1"/>
  <c r="T33" i="1"/>
  <c r="S33" i="1"/>
  <c r="P33" i="1"/>
  <c r="O33" i="1"/>
  <c r="H33" i="1"/>
  <c r="D33" i="1"/>
  <c r="X32" i="1"/>
  <c r="W32" i="1"/>
  <c r="T32" i="1"/>
  <c r="S32" i="1"/>
  <c r="P32" i="1"/>
  <c r="O32" i="1"/>
  <c r="H32" i="1"/>
  <c r="D32" i="1"/>
  <c r="X31" i="1"/>
  <c r="W31" i="1"/>
  <c r="T31" i="1"/>
  <c r="S31" i="1"/>
  <c r="P31" i="1"/>
  <c r="O31" i="1"/>
  <c r="H31" i="1"/>
  <c r="D31" i="1"/>
  <c r="X30" i="1"/>
  <c r="W30" i="1"/>
  <c r="T30" i="1"/>
  <c r="S30" i="1"/>
  <c r="P30" i="1"/>
  <c r="O30" i="1"/>
  <c r="H30" i="1"/>
  <c r="D30" i="1"/>
  <c r="X29" i="1"/>
  <c r="W29" i="1"/>
  <c r="T29" i="1"/>
  <c r="S29" i="1"/>
  <c r="P29" i="1"/>
  <c r="O29" i="1"/>
  <c r="H29" i="1"/>
  <c r="D29" i="1"/>
  <c r="X28" i="1"/>
  <c r="W28" i="1"/>
  <c r="T28" i="1"/>
  <c r="S28" i="1"/>
  <c r="P28" i="1"/>
  <c r="O28" i="1"/>
  <c r="H28" i="1"/>
  <c r="D28" i="1"/>
  <c r="X27" i="1"/>
  <c r="T27" i="1"/>
  <c r="S27" i="1"/>
  <c r="P27" i="1"/>
  <c r="O27" i="1"/>
  <c r="H27" i="1"/>
  <c r="D27" i="1"/>
  <c r="X26" i="1"/>
  <c r="W26" i="1"/>
  <c r="T26" i="1"/>
  <c r="S26" i="1"/>
  <c r="P26" i="1"/>
  <c r="O26" i="1"/>
  <c r="G26" i="1"/>
  <c r="F26" i="1"/>
  <c r="D26" i="1"/>
  <c r="D46" i="1" s="1"/>
  <c r="C26" i="1"/>
  <c r="B26" i="1"/>
  <c r="X25" i="1"/>
  <c r="T25" i="1"/>
  <c r="P25" i="1"/>
  <c r="K25" i="1"/>
  <c r="N23" i="1"/>
  <c r="N43" i="1" s="1"/>
  <c r="K23" i="1"/>
  <c r="J22" i="1"/>
  <c r="N22" i="1"/>
  <c r="N42" i="1" s="1"/>
  <c r="N21" i="1"/>
  <c r="N41" i="1" s="1"/>
  <c r="X20" i="1"/>
  <c r="W20" i="1"/>
  <c r="T20" i="1"/>
  <c r="S20" i="1"/>
  <c r="P20" i="1"/>
  <c r="O20" i="1"/>
  <c r="G20" i="1"/>
  <c r="K20" i="1" s="1"/>
  <c r="F20" i="1"/>
  <c r="J20" i="1" s="1"/>
  <c r="X18" i="1"/>
  <c r="W18" i="1"/>
  <c r="T18" i="1"/>
  <c r="S18" i="1"/>
  <c r="P18" i="1"/>
  <c r="O18" i="1"/>
  <c r="L18" i="1"/>
  <c r="H18" i="1"/>
  <c r="D18" i="1"/>
  <c r="X17" i="1"/>
  <c r="W17" i="1"/>
  <c r="T17" i="1"/>
  <c r="S17" i="1"/>
  <c r="P17" i="1"/>
  <c r="O17" i="1"/>
  <c r="L17" i="1"/>
  <c r="H17" i="1"/>
  <c r="X16" i="1"/>
  <c r="W16" i="1"/>
  <c r="T16" i="1"/>
  <c r="S16" i="1"/>
  <c r="P16" i="1"/>
  <c r="O16" i="1"/>
  <c r="L16" i="1"/>
  <c r="H16" i="1"/>
  <c r="D16" i="1"/>
  <c r="X15" i="1"/>
  <c r="W15" i="1"/>
  <c r="T15" i="1"/>
  <c r="S15" i="1"/>
  <c r="P15" i="1"/>
  <c r="O15" i="1"/>
  <c r="L15" i="1"/>
  <c r="H15" i="1"/>
  <c r="D15" i="1"/>
  <c r="X14" i="1"/>
  <c r="W14" i="1"/>
  <c r="T14" i="1"/>
  <c r="S14" i="1"/>
  <c r="P14" i="1"/>
  <c r="O14" i="1"/>
  <c r="L14" i="1"/>
  <c r="H14" i="1"/>
  <c r="D14" i="1"/>
  <c r="X13" i="1"/>
  <c r="W13" i="1"/>
  <c r="T13" i="1"/>
  <c r="S13" i="1"/>
  <c r="P13" i="1"/>
  <c r="O13" i="1"/>
  <c r="L13" i="1"/>
  <c r="H13" i="1"/>
  <c r="D13" i="1"/>
  <c r="X12" i="1"/>
  <c r="W12" i="1"/>
  <c r="T12" i="1"/>
  <c r="S12" i="1"/>
  <c r="P12" i="1"/>
  <c r="O12" i="1"/>
  <c r="Q12" i="1" s="1"/>
  <c r="L12" i="1"/>
  <c r="H12" i="1"/>
  <c r="D12" i="1"/>
  <c r="X11" i="1"/>
  <c r="W11" i="1"/>
  <c r="T11" i="1"/>
  <c r="S11" i="1"/>
  <c r="O11" i="1"/>
  <c r="L11" i="1"/>
  <c r="H11" i="1"/>
  <c r="D11" i="1"/>
  <c r="X10" i="1"/>
  <c r="W10" i="1"/>
  <c r="T10" i="1"/>
  <c r="S10" i="1"/>
  <c r="P10" i="1"/>
  <c r="O10" i="1"/>
  <c r="L10" i="1"/>
  <c r="H10" i="1"/>
  <c r="D10" i="1"/>
  <c r="X9" i="1"/>
  <c r="W9" i="1"/>
  <c r="T9" i="1"/>
  <c r="S9" i="1"/>
  <c r="P9" i="1"/>
  <c r="O9" i="1"/>
  <c r="L9" i="1"/>
  <c r="H9" i="1"/>
  <c r="D9" i="1"/>
  <c r="X8" i="1"/>
  <c r="W8" i="1"/>
  <c r="T8" i="1"/>
  <c r="S8" i="1"/>
  <c r="P8" i="1"/>
  <c r="O8" i="1"/>
  <c r="L8" i="1"/>
  <c r="H8" i="1"/>
  <c r="D8" i="1"/>
  <c r="X7" i="1"/>
  <c r="W7" i="1"/>
  <c r="T7" i="1"/>
  <c r="S7" i="1"/>
  <c r="P7" i="1"/>
  <c r="O7" i="1"/>
  <c r="L7" i="1"/>
  <c r="H7" i="1"/>
  <c r="D7" i="1"/>
  <c r="X6" i="1"/>
  <c r="W6" i="1"/>
  <c r="T6" i="1"/>
  <c r="S6" i="1"/>
  <c r="P6" i="1"/>
  <c r="O6" i="1"/>
  <c r="L6" i="1"/>
  <c r="L46" i="1" s="1"/>
  <c r="H6" i="1"/>
  <c r="H26" i="1" s="1"/>
  <c r="H46" i="1" s="1"/>
  <c r="G6" i="1"/>
  <c r="K6" i="1" s="1"/>
  <c r="F6" i="1"/>
  <c r="J6" i="1" s="1"/>
  <c r="X5" i="1"/>
  <c r="T5" i="1"/>
  <c r="P5" i="1"/>
  <c r="T3" i="1"/>
  <c r="Y1" i="1"/>
  <c r="P21" i="1" l="1"/>
  <c r="U15" i="1"/>
  <c r="Q13" i="1"/>
  <c r="U11" i="1"/>
  <c r="U37" i="1"/>
  <c r="Q18" i="1"/>
  <c r="U29" i="1"/>
  <c r="U38" i="1"/>
  <c r="U12" i="1"/>
  <c r="U14" i="1"/>
  <c r="K84" i="1"/>
  <c r="Q8" i="1"/>
  <c r="K61" i="1"/>
  <c r="L50" i="1"/>
  <c r="Y28" i="1"/>
  <c r="Q29" i="1"/>
  <c r="Y29" i="1"/>
  <c r="Q31" i="1"/>
  <c r="Q34" i="1"/>
  <c r="Q38" i="1"/>
  <c r="Q6" i="1"/>
  <c r="U7" i="1"/>
  <c r="L58" i="1"/>
  <c r="H85" i="1"/>
  <c r="Q11" i="1"/>
  <c r="U13" i="1"/>
  <c r="U16" i="1"/>
  <c r="O43" i="1"/>
  <c r="O23" i="1"/>
  <c r="O22" i="1" s="1"/>
  <c r="T23" i="1"/>
  <c r="U10" i="1"/>
  <c r="C22" i="1"/>
  <c r="G62" i="1"/>
  <c r="U9" i="1"/>
  <c r="F84" i="1"/>
  <c r="D85" i="1"/>
  <c r="C42" i="1"/>
  <c r="Y33" i="1"/>
  <c r="Y36" i="1"/>
  <c r="Y37" i="1"/>
  <c r="G42" i="1"/>
  <c r="K22" i="1"/>
  <c r="G84" i="1"/>
  <c r="Y27" i="1"/>
  <c r="W43" i="1"/>
  <c r="H83" i="1"/>
  <c r="Y38" i="1"/>
  <c r="Y30" i="1"/>
  <c r="Y32" i="1"/>
  <c r="H63" i="1"/>
  <c r="H61" i="1"/>
  <c r="L51" i="1"/>
  <c r="L54" i="1"/>
  <c r="L55" i="1"/>
  <c r="J62" i="1"/>
  <c r="D61" i="1"/>
  <c r="K42" i="1"/>
  <c r="U30" i="1"/>
  <c r="U33" i="1"/>
  <c r="U34" i="1"/>
  <c r="Q35" i="1"/>
  <c r="D41" i="1"/>
  <c r="Q30" i="1"/>
  <c r="Q37" i="1"/>
  <c r="U17" i="1"/>
  <c r="T21" i="1"/>
  <c r="U8" i="1"/>
  <c r="U18" i="1"/>
  <c r="Q16" i="1"/>
  <c r="D23" i="1"/>
  <c r="W23" i="1"/>
  <c r="Y9" i="1"/>
  <c r="Y17" i="1"/>
  <c r="L21" i="1"/>
  <c r="L23" i="1"/>
  <c r="Y13" i="1"/>
  <c r="F22" i="1"/>
  <c r="Q10" i="1"/>
  <c r="B22" i="1"/>
  <c r="Q15" i="1"/>
  <c r="Q17" i="1"/>
  <c r="Q9" i="1"/>
  <c r="Q14" i="1"/>
  <c r="T43" i="1"/>
  <c r="U27" i="1"/>
  <c r="Q7" i="1"/>
  <c r="Y8" i="1"/>
  <c r="Y12" i="1"/>
  <c r="H21" i="1"/>
  <c r="S23" i="1"/>
  <c r="Y15" i="1"/>
  <c r="P23" i="1"/>
  <c r="Q27" i="1"/>
  <c r="Y10" i="1"/>
  <c r="Y14" i="1"/>
  <c r="Y18" i="1"/>
  <c r="D21" i="1"/>
  <c r="G22" i="1"/>
  <c r="S43" i="1"/>
  <c r="Q28" i="1"/>
  <c r="U31" i="1"/>
  <c r="U32" i="1"/>
  <c r="Y35" i="1"/>
  <c r="Q36" i="1"/>
  <c r="B42" i="1"/>
  <c r="H41" i="1"/>
  <c r="H43" i="1"/>
  <c r="L52" i="1"/>
  <c r="L53" i="1"/>
  <c r="L83" i="1"/>
  <c r="P43" i="1"/>
  <c r="U28" i="1"/>
  <c r="Y31" i="1"/>
  <c r="Q32" i="1"/>
  <c r="U35" i="1"/>
  <c r="U36" i="1"/>
  <c r="T41" i="1"/>
  <c r="D43" i="1"/>
  <c r="L47" i="1"/>
  <c r="L48" i="1"/>
  <c r="L49" i="1"/>
  <c r="L56" i="1"/>
  <c r="L57" i="1"/>
  <c r="D63" i="1"/>
  <c r="C84" i="1"/>
  <c r="P41" i="1"/>
  <c r="Y16" i="1"/>
  <c r="X23" i="1"/>
  <c r="X21" i="1"/>
  <c r="Y7" i="1"/>
  <c r="Y11" i="1"/>
  <c r="Q33" i="1"/>
  <c r="Y34" i="1"/>
  <c r="K63" i="1"/>
  <c r="C62" i="1"/>
  <c r="D83" i="1"/>
  <c r="L85" i="1"/>
  <c r="X43" i="1"/>
  <c r="Q23" i="1" l="1"/>
  <c r="O42" i="1"/>
  <c r="Q43" i="1"/>
  <c r="U6" i="1"/>
  <c r="Q26" i="1"/>
  <c r="T22" i="1"/>
  <c r="U23" i="1"/>
  <c r="Y23" i="1"/>
  <c r="S22" i="1"/>
  <c r="Y43" i="1"/>
  <c r="K62" i="1"/>
  <c r="W42" i="1"/>
  <c r="Y41" i="1"/>
  <c r="L63" i="1"/>
  <c r="W22" i="1"/>
  <c r="U21" i="1"/>
  <c r="Q21" i="1"/>
  <c r="X42" i="1"/>
  <c r="T42" i="1"/>
  <c r="U41" i="1"/>
  <c r="L61" i="1"/>
  <c r="S42" i="1"/>
  <c r="P22" i="1"/>
  <c r="Y21" i="1"/>
  <c r="X22" i="1"/>
  <c r="P42" i="1"/>
  <c r="Q41" i="1"/>
  <c r="U43" i="1"/>
  <c r="Y6" i="1" l="1"/>
  <c r="Y26" i="1" s="1"/>
  <c r="U26" i="1"/>
</calcChain>
</file>

<file path=xl/sharedStrings.xml><?xml version="1.0" encoding="utf-8"?>
<sst xmlns="http://schemas.openxmlformats.org/spreadsheetml/2006/main" count="189" uniqueCount="81">
  <si>
    <t>Report of Dollars</t>
  </si>
  <si>
    <t>Report of Volume in Gallons/Units</t>
  </si>
  <si>
    <t xml:space="preserve">    </t>
  </si>
  <si>
    <t xml:space="preserve"> </t>
  </si>
  <si>
    <t>See notes, page 2</t>
  </si>
  <si>
    <t>(thousands)</t>
  </si>
  <si>
    <t>See notes, below</t>
  </si>
  <si>
    <t>(thousands, except Trip Permits)</t>
  </si>
  <si>
    <t>Gasoline &amp; Gasohol</t>
  </si>
  <si>
    <t>Diesel</t>
  </si>
  <si>
    <t>LP-Gas</t>
  </si>
  <si>
    <t>Month</t>
  </si>
  <si>
    <t>% chg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</si>
  <si>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</si>
  <si>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</si>
  <si>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</si>
  <si>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</si>
  <si>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</si>
  <si>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</si>
  <si>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</si>
  <si>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</si>
  <si>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</si>
  <si>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</si>
  <si>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</si>
  <si>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</si>
  <si>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Gasoline &amp; Gasohol Fiscal Year to Date</t>
  </si>
  <si>
    <t xml:space="preserve">             Diesel Fiscal Year to Date</t>
  </si>
  <si>
    <t xml:space="preserve">              LP Gas Fiscal Year to Date</t>
  </si>
  <si>
    <t xml:space="preserve">                 Diesel Fiscal Year to Date</t>
  </si>
  <si>
    <t>FY</t>
  </si>
  <si>
    <t xml:space="preserve">      % chg</t>
  </si>
  <si>
    <t xml:space="preserve">          % chg</t>
  </si>
  <si>
    <t>FYTD</t>
  </si>
  <si>
    <t xml:space="preserve">       % chg</t>
  </si>
  <si>
    <t xml:space="preserve">        % chg</t>
  </si>
  <si>
    <t>% total</t>
  </si>
  <si>
    <t>n/a</t>
  </si>
  <si>
    <t>FYTotal</t>
  </si>
  <si>
    <t>Interstate</t>
  </si>
  <si>
    <t xml:space="preserve">      Trip Permits</t>
  </si>
  <si>
    <t>(number)</t>
  </si>
  <si>
    <t>Alcohol</t>
  </si>
  <si>
    <t>Highway</t>
  </si>
  <si>
    <t>Sp C/C</t>
  </si>
  <si>
    <t>Interstate Fiscal Year to Date</t>
  </si>
  <si>
    <t>Trip Permits Fiscal Year to Date</t>
  </si>
  <si>
    <t>FY 2017 Distribution Fiscal Year to Date</t>
  </si>
  <si>
    <t xml:space="preserve">            Trip Permits Fiscal Year to Date</t>
  </si>
  <si>
    <t>Total Refunds Fiscal Year to Date</t>
  </si>
  <si>
    <t xml:space="preserve">      Alcohol</t>
  </si>
  <si>
    <t xml:space="preserve">       Highway</t>
  </si>
  <si>
    <t xml:space="preserve">      Sp C/C</t>
  </si>
  <si>
    <t xml:space="preserve">     % chg</t>
  </si>
  <si>
    <t xml:space="preserve">         % chg</t>
  </si>
  <si>
    <t>Net</t>
  </si>
  <si>
    <t>Total Collections</t>
  </si>
  <si>
    <t>Total Refunds</t>
  </si>
  <si>
    <t>Net after Refunds</t>
  </si>
  <si>
    <t>NOTES:</t>
  </si>
  <si>
    <t>All information in this report are obtained from KDOR's comparative Statement of Taxes and Fees, which reports monthly collection of receipts.</t>
  </si>
  <si>
    <t xml:space="preserve">Months are collection months. </t>
  </si>
  <si>
    <t>Gallons are unrounded collections divided by current tax rate  (Gasoline, Gasohol @ 24¢; Special, Interstate @</t>
  </si>
  <si>
    <t>26¢; LP-G @ 23¢; Trips @ $13.00) EXCEPT Refund gallons are from all fuels, with a rate at about 24¢</t>
  </si>
  <si>
    <t>Interstate gallons computed at special motor fuel tax rate.  IFTA gallons included when transferred from IFTA Clearing Fund.</t>
  </si>
  <si>
    <t>Inventory taxes apply when fuel rates change.</t>
  </si>
  <si>
    <t>Total Collections include collections from E-85.</t>
  </si>
  <si>
    <t>Totals may not equal sums from rounding.</t>
  </si>
  <si>
    <t>Total Collections Fiscal Year to Date</t>
  </si>
  <si>
    <t>Net of Refund Fiscal Year to Date</t>
  </si>
  <si>
    <t>Gasoline &amp; Gasohol Refunds</t>
  </si>
  <si>
    <t>Diesel Refunds</t>
  </si>
  <si>
    <t>LP-Gas Refunds</t>
  </si>
  <si>
    <t xml:space="preserve">MAY </t>
  </si>
  <si>
    <t>Gasoline &amp; Gasohol Refunds Fiscal Year to Date</t>
  </si>
  <si>
    <t>Diesel Refunds Fiscal Year to Date</t>
  </si>
  <si>
    <t>LP-Gas Refunds Fiscal Year to Date</t>
  </si>
  <si>
    <t>FY 2020: Actual Collections of Motor Fuel Taxes</t>
  </si>
  <si>
    <t>FY 20</t>
  </si>
  <si>
    <t>FY 2020: Actual Volume in Gallons/Units</t>
  </si>
  <si>
    <t>FY 21</t>
  </si>
  <si>
    <t>FY21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</si>
</sst>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\ ;\(#,##0.000\)"/>
    <numFmt numFmtId="165" formatCode="&quot;$&quot;#,##0"/>
    <numFmt numFmtId="166" formatCode="0.0%;\(0.0%\)"/>
    <numFmt numFmtId="167" formatCode="&quot;$&quot;#,##0.000\ ;\(&quot;$&quot;#,##0.000\)"/>
    <numFmt numFmtId="168" formatCode="0.00%;\(0.00%\)"/>
    <numFmt numFmtId="169" formatCode="&quot;$&quot;#,##0.000;\(&quot;$&quot;#,##0.000\)"/>
    <numFmt numFmtId="170" formatCode="#,##0.000;\(#,##0.000\)"/>
    <numFmt numFmtId="171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2" fillId="0" borderId="0" xfId="0" applyFont="1" applyBorder="1"/>
    <xf numFmtId="5" fontId="3" fillId="0" borderId="0" xfId="0" applyNumberFormat="1" applyFont="1" applyBorder="1"/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0" fontId="3" fillId="0" borderId="0" xfId="0" applyFont="1" applyAlignment="1">
      <alignment horizontal="fill"/>
    </xf>
    <xf numFmtId="3" fontId="3" fillId="0" borderId="0" xfId="0" applyNumberFormat="1" applyFont="1" applyAlignment="1">
      <alignment horizontal="center"/>
    </xf>
    <xf numFmtId="5" fontId="3" fillId="0" borderId="0" xfId="0" applyNumberFormat="1" applyFont="1"/>
    <xf numFmtId="0" fontId="3" fillId="0" borderId="1" xfId="0" applyFont="1" applyBorder="1" applyAlignment="1">
      <alignment horizontal="fill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165" fontId="3" fillId="0" borderId="0" xfId="0" applyNumberFormat="1" applyFont="1" applyAlignment="1"/>
    <xf numFmtId="6" fontId="3" fillId="0" borderId="0" xfId="2" applyNumberFormat="1" applyFont="1"/>
    <xf numFmtId="166" fontId="3" fillId="0" borderId="0" xfId="0" applyNumberFormat="1" applyFont="1"/>
    <xf numFmtId="165" fontId="3" fillId="0" borderId="0" xfId="0" applyNumberFormat="1" applyFont="1"/>
    <xf numFmtId="3" fontId="3" fillId="0" borderId="0" xfId="1" applyNumberFormat="1" applyFont="1"/>
    <xf numFmtId="165" fontId="3" fillId="0" borderId="4" xfId="0" applyNumberFormat="1" applyFont="1" applyBorder="1" applyAlignment="1"/>
    <xf numFmtId="6" fontId="3" fillId="0" borderId="4" xfId="2" applyNumberFormat="1" applyFont="1" applyBorder="1"/>
    <xf numFmtId="166" fontId="3" fillId="0" borderId="4" xfId="0" applyNumberFormat="1" applyFont="1" applyBorder="1"/>
    <xf numFmtId="165" fontId="3" fillId="0" borderId="4" xfId="0" applyNumberFormat="1" applyFont="1" applyBorder="1"/>
    <xf numFmtId="3" fontId="3" fillId="0" borderId="4" xfId="0" applyNumberFormat="1" applyFont="1" applyBorder="1"/>
    <xf numFmtId="0" fontId="3" fillId="0" borderId="2" xfId="0" applyFont="1" applyBorder="1" applyAlignment="1">
      <alignment horizontal="left"/>
    </xf>
    <xf numFmtId="3" fontId="3" fillId="0" borderId="2" xfId="0" applyNumberFormat="1" applyFont="1" applyBorder="1"/>
    <xf numFmtId="3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5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167" fontId="3" fillId="0" borderId="0" xfId="0" applyNumberFormat="1" applyFont="1"/>
    <xf numFmtId="37" fontId="3" fillId="0" borderId="0" xfId="0" applyNumberFormat="1" applyFont="1"/>
    <xf numFmtId="3" fontId="3" fillId="0" borderId="0" xfId="1" applyNumberFormat="1" applyFont="1" applyAlignment="1">
      <alignment horizontal="right"/>
    </xf>
    <xf numFmtId="0" fontId="3" fillId="0" borderId="0" xfId="0" applyFont="1" applyAlignment="1">
      <alignment horizontal="right"/>
    </xf>
    <xf numFmtId="166" fontId="3" fillId="0" borderId="0" xfId="0" applyNumberFormat="1" applyFont="1" applyAlignment="1">
      <alignment horizontal="right"/>
    </xf>
    <xf numFmtId="6" fontId="3" fillId="0" borderId="0" xfId="2" applyNumberFormat="1" applyFont="1" applyAlignment="1"/>
    <xf numFmtId="168" fontId="3" fillId="0" borderId="0" xfId="0" applyNumberFormat="1" applyFont="1"/>
    <xf numFmtId="169" fontId="3" fillId="0" borderId="0" xfId="0" applyNumberFormat="1" applyFont="1"/>
    <xf numFmtId="170" fontId="3" fillId="0" borderId="0" xfId="0" applyNumberFormat="1" applyFont="1"/>
    <xf numFmtId="168" fontId="3" fillId="0" borderId="3" xfId="0" applyNumberFormat="1" applyFont="1" applyBorder="1"/>
    <xf numFmtId="0" fontId="3" fillId="0" borderId="1" xfId="0" applyFont="1" applyBorder="1"/>
    <xf numFmtId="168" fontId="3" fillId="0" borderId="3" xfId="0" applyNumberFormat="1" applyFont="1" applyBorder="1" applyAlignment="1">
      <alignment horizontal="center"/>
    </xf>
    <xf numFmtId="168" fontId="3" fillId="0" borderId="0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right"/>
    </xf>
    <xf numFmtId="168" fontId="3" fillId="0" borderId="0" xfId="0" applyNumberFormat="1" applyFont="1" applyBorder="1"/>
    <xf numFmtId="164" fontId="3" fillId="0" borderId="5" xfId="0" applyNumberFormat="1" applyFont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7" fontId="3" fillId="0" borderId="0" xfId="0" applyNumberFormat="1" applyFont="1" applyBorder="1"/>
    <xf numFmtId="0" fontId="3" fillId="0" borderId="4" xfId="0" applyFont="1" applyBorder="1" applyAlignment="1">
      <alignment horizontal="left"/>
    </xf>
    <xf numFmtId="166" fontId="3" fillId="0" borderId="2" xfId="0" applyNumberFormat="1" applyFont="1" applyBorder="1"/>
    <xf numFmtId="5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71" fontId="3" fillId="0" borderId="0" xfId="3" applyNumberFormat="1" applyFont="1" applyAlignment="1">
      <alignment horizontal="right"/>
    </xf>
    <xf numFmtId="6" fontId="3" fillId="0" borderId="0" xfId="2" applyNumberFormat="1" applyFont="1" applyAlignment="1">
      <alignment horizontal="right"/>
    </xf>
    <xf numFmtId="43" fontId="3" fillId="0" borderId="0" xfId="1" applyFont="1"/>
    <xf numFmtId="38" fontId="3" fillId="0" borderId="0" xfId="0" applyNumberFormat="1" applyFont="1"/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5" fontId="3" fillId="0" borderId="0" xfId="0" applyNumberFormat="1" applyFont="1" applyBorder="1" applyAlignment="1">
      <alignment horizontal="right"/>
    </xf>
    <xf numFmtId="167" fontId="3" fillId="0" borderId="0" xfId="0" applyNumberFormat="1" applyFont="1" applyBorder="1" applyAlignment="1">
      <alignment horizontal="right"/>
    </xf>
    <xf numFmtId="167" fontId="3" fillId="0" borderId="0" xfId="0" applyNumberFormat="1" applyFont="1" applyBorder="1" applyAlignment="1">
      <alignment horizontal="center"/>
    </xf>
    <xf numFmtId="7" fontId="3" fillId="0" borderId="0" xfId="0" applyNumberFormat="1" applyFont="1" applyBorder="1" applyAlignment="1">
      <alignment horizontal="center"/>
    </xf>
    <xf numFmtId="170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166" fontId="3" fillId="0" borderId="0" xfId="0" applyNumberFormat="1" applyFont="1" applyBorder="1"/>
    <xf numFmtId="3" fontId="3" fillId="0" borderId="0" xfId="0" applyNumberFormat="1" applyFont="1" applyAlignment="1">
      <alignment horizontal="right"/>
    </xf>
    <xf numFmtId="0" fontId="3" fillId="0" borderId="7" xfId="0" applyFont="1" applyBorder="1" applyAlignment="1">
      <alignment horizontal="fill"/>
    </xf>
    <xf numFmtId="0" fontId="3" fillId="0" borderId="3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164" fontId="3" fillId="0" borderId="7" xfId="0" applyNumberFormat="1" applyFont="1" applyBorder="1" applyAlignment="1">
      <alignment horizontal="right"/>
    </xf>
    <xf numFmtId="0" fontId="3" fillId="0" borderId="6" xfId="0" applyFont="1" applyBorder="1"/>
    <xf numFmtId="6" fontId="3" fillId="0" borderId="0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0" borderId="4" xfId="0" applyNumberFormat="1" applyFont="1" applyBorder="1" applyAlignment="1">
      <alignment horizontal="right"/>
    </xf>
    <xf numFmtId="165" fontId="3" fillId="0" borderId="0" xfId="2" applyNumberFormat="1" applyFont="1"/>
    <xf numFmtId="165" fontId="3" fillId="0" borderId="4" xfId="2" applyNumberFormat="1" applyFont="1" applyBorder="1"/>
    <xf numFmtId="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5" fontId="3" fillId="0" borderId="0" xfId="0" applyNumberFormat="1" applyFont="1" applyFill="1"/>
    <xf numFmtId="5" fontId="3" fillId="0" borderId="0" xfId="0" applyNumberFormat="1" applyFont="1" applyFill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7"/>
  <sheetViews>
    <sheetView showGridLines="0" tabSelected="1" zoomScale="115" zoomScaleNormal="115" workbookViewId="0"/>
  </sheetViews>
  <sheetFormatPr defaultColWidth="10.85546875" defaultRowHeight="12" x14ac:dyDescent="0.2"/>
  <cols>
    <col min="1" max="1" width="6.85546875" style="2" customWidth="1"/>
    <col min="2" max="2" width="10.5703125" style="2" customWidth="1"/>
    <col min="3" max="3" width="12.28515625" style="2" customWidth="1"/>
    <col min="4" max="4" width="10" style="2" customWidth="1"/>
    <col min="5" max="5" width="2.85546875" style="2" customWidth="1"/>
    <col min="6" max="6" width="10.42578125" style="2" customWidth="1"/>
    <col min="7" max="7" width="10" style="2" customWidth="1"/>
    <col min="8" max="8" width="10.5703125" style="2" customWidth="1"/>
    <col min="9" max="9" width="2.85546875" style="2" customWidth="1"/>
    <col min="10" max="10" width="10.140625" style="2" customWidth="1"/>
    <col min="11" max="11" width="11.140625" style="2" customWidth="1"/>
    <col min="12" max="12" width="10.85546875" style="2" customWidth="1"/>
    <col min="13" max="13" width="1.85546875" style="2" customWidth="1"/>
    <col min="14" max="14" width="6.85546875" style="2" customWidth="1"/>
    <col min="15" max="15" width="11.7109375" style="2" customWidth="1"/>
    <col min="16" max="16" width="11.140625" style="2" customWidth="1"/>
    <col min="17" max="17" width="9.7109375" style="2" customWidth="1"/>
    <col min="18" max="18" width="2.85546875" style="2" customWidth="1"/>
    <col min="19" max="19" width="13" style="2" customWidth="1"/>
    <col min="20" max="20" width="12.140625" style="2" customWidth="1"/>
    <col min="21" max="21" width="9.7109375" style="2" customWidth="1"/>
    <col min="22" max="22" width="2.85546875" style="2" customWidth="1"/>
    <col min="23" max="23" width="10.85546875" style="2" customWidth="1"/>
    <col min="24" max="24" width="11.42578125" style="2" customWidth="1"/>
    <col min="25" max="25" width="11" style="2" customWidth="1"/>
    <col min="26" max="26" width="11.140625" style="2" customWidth="1"/>
    <col min="27" max="29" width="9.85546875" style="2" customWidth="1"/>
    <col min="30" max="30" width="9.7109375" style="2" customWidth="1"/>
    <col min="31" max="241" width="9.85546875" style="2" customWidth="1"/>
    <col min="242" max="16384" width="10.85546875" style="2"/>
  </cols>
  <sheetData>
    <row r="1" spans="1:26" x14ac:dyDescent="0.2">
      <c r="A1" s="1"/>
      <c r="C1" s="3"/>
      <c r="G1" s="4" t="s">
        <v>0</v>
      </c>
      <c r="K1" s="5"/>
      <c r="L1" s="6"/>
      <c r="N1" s="7"/>
      <c r="T1" s="4" t="s">
        <v>1</v>
      </c>
      <c r="Y1" s="6" t="str">
        <f>"2/2"</f>
        <v>2/2</v>
      </c>
    </row>
    <row r="2" spans="1:26" x14ac:dyDescent="0.2">
      <c r="A2" s="1"/>
      <c r="C2" s="8"/>
      <c r="G2" s="3" t="s">
        <v>76</v>
      </c>
      <c r="J2" s="5"/>
      <c r="K2" s="9"/>
      <c r="L2" s="10"/>
      <c r="N2" s="1"/>
      <c r="P2" s="11"/>
      <c r="T2" s="3" t="s">
        <v>78</v>
      </c>
      <c r="Z2" s="10"/>
    </row>
    <row r="3" spans="1:26" x14ac:dyDescent="0.2">
      <c r="F3" s="5"/>
      <c r="G3" s="3" t="s">
        <v>2</v>
      </c>
      <c r="J3" s="5"/>
      <c r="K3" s="5"/>
      <c r="L3" s="10"/>
      <c r="P3" s="2" t="s">
        <v>3</v>
      </c>
      <c r="T3" s="3" t="str">
        <f>G3</f>
        <v xml:space="preserve">    </v>
      </c>
      <c r="Z3" s="10"/>
    </row>
    <row r="4" spans="1:26" x14ac:dyDescent="0.2">
      <c r="A4" s="2" t="s">
        <v>4</v>
      </c>
      <c r="B4" s="12"/>
      <c r="C4" s="13"/>
      <c r="F4" s="5"/>
      <c r="G4" s="4" t="s">
        <v>5</v>
      </c>
      <c r="H4" s="14"/>
      <c r="J4" s="5"/>
      <c r="N4" s="2" t="s">
        <v>6</v>
      </c>
      <c r="P4" s="11"/>
      <c r="Q4" s="11"/>
      <c r="R4" s="11"/>
      <c r="S4" s="11"/>
      <c r="T4" s="4" t="s">
        <v>7</v>
      </c>
      <c r="U4" s="11"/>
      <c r="V4" s="11"/>
      <c r="W4" s="11"/>
      <c r="X4" s="11"/>
    </row>
    <row r="5" spans="1:26" x14ac:dyDescent="0.2">
      <c r="B5" s="15"/>
      <c r="C5" s="16" t="s">
        <v>8</v>
      </c>
      <c r="D5" s="17"/>
      <c r="E5" s="3"/>
      <c r="F5" s="18"/>
      <c r="G5" s="16" t="s">
        <v>9</v>
      </c>
      <c r="H5" s="17"/>
      <c r="J5" s="18"/>
      <c r="K5" s="19" t="s">
        <v>10</v>
      </c>
      <c r="L5" s="17"/>
      <c r="O5" s="15"/>
      <c r="P5" s="16" t="str">
        <f>C5</f>
        <v>Gasoline &amp; Gasohol</v>
      </c>
      <c r="Q5" s="17"/>
      <c r="R5" s="3"/>
      <c r="S5" s="18"/>
      <c r="T5" s="16" t="str">
        <f>G5</f>
        <v>Diesel</v>
      </c>
      <c r="U5" s="17"/>
      <c r="V5" s="20"/>
      <c r="W5" s="18"/>
      <c r="X5" s="16" t="str">
        <f>K5</f>
        <v>LP-Gas</v>
      </c>
      <c r="Y5" s="17"/>
    </row>
    <row r="6" spans="1:26" x14ac:dyDescent="0.2">
      <c r="A6" s="21" t="s">
        <v>11</v>
      </c>
      <c r="B6" s="22" t="s">
        <v>77</v>
      </c>
      <c r="C6" s="23" t="s">
        <v>79</v>
      </c>
      <c r="D6" s="24" t="s">
        <v>12</v>
      </c>
      <c r="E6" s="3"/>
      <c r="F6" s="25" t="str">
        <f>B6</f>
        <v>FY 20</v>
      </c>
      <c r="G6" s="21" t="str">
        <f>C6</f>
        <v>FY 21</v>
      </c>
      <c r="H6" s="24" t="str">
        <f>D6</f>
        <v>% chg</v>
      </c>
      <c r="J6" s="25" t="str">
        <f>F6</f>
        <v>FY 20</v>
      </c>
      <c r="K6" s="21" t="str">
        <f>G6</f>
        <v>FY 21</v>
      </c>
      <c r="L6" s="24" t="str">
        <f>D6</f>
        <v>% chg</v>
      </c>
      <c r="N6" s="21" t="s">
        <v>11</v>
      </c>
      <c r="O6" s="25" t="str">
        <f>B6</f>
        <v>FY 20</v>
      </c>
      <c r="P6" s="21" t="str">
        <f>C6</f>
        <v>FY 21</v>
      </c>
      <c r="Q6" s="24" t="str">
        <f>L6</f>
        <v>% chg</v>
      </c>
      <c r="R6" s="3"/>
      <c r="S6" s="25" t="str">
        <f>B6</f>
        <v>FY 20</v>
      </c>
      <c r="T6" s="21" t="str">
        <f>C6</f>
        <v>FY 21</v>
      </c>
      <c r="U6" s="24" t="str">
        <f>Q6</f>
        <v>% chg</v>
      </c>
      <c r="V6" s="26"/>
      <c r="W6" s="25" t="str">
        <f>B6</f>
        <v>FY 20</v>
      </c>
      <c r="X6" s="21" t="str">
        <f>C6</f>
        <v>FY 21</v>
      </c>
      <c r="Y6" s="24" t="str">
        <f>U6</f>
        <v>% chg</v>
      </c>
    </row>
    <row r="7" spans="1:26" x14ac:dyDescent="0.2">
      <c r="A7" s="27" t="s">
        <v>13</v>
      </c>
      <c r="B7" s="28">
        <v>29942.761999999999</v>
      </c>
      <c r="C7" s="91">
        <v>24554.553</v>
      </c>
      <c r="D7" s="30">
        <f t="shared" ref="D7:D18" si="0">(C7-B7)/B7</f>
        <v>-0.17995029984207866</v>
      </c>
      <c r="E7" s="30"/>
      <c r="F7" s="31">
        <v>11513.441999999999</v>
      </c>
      <c r="G7" s="29">
        <v>10224.013000000001</v>
      </c>
      <c r="H7" s="30">
        <f t="shared" ref="H7:H18" si="1">(G7-F7)/F7</f>
        <v>-0.11199335524511249</v>
      </c>
      <c r="J7" s="31">
        <v>260.44200000000001</v>
      </c>
      <c r="K7" s="29">
        <v>250.95099999999999</v>
      </c>
      <c r="L7" s="30">
        <f t="shared" ref="L7:L18" si="2">(K7-J7)/J7</f>
        <v>-3.6441894932461021E-2</v>
      </c>
      <c r="N7" s="27" t="s">
        <v>13</v>
      </c>
      <c r="O7" s="11">
        <f>B7/0.24</f>
        <v>124761.50833333333</v>
      </c>
      <c r="P7" s="11">
        <f>C7/0.24</f>
        <v>102310.6375</v>
      </c>
      <c r="Q7" s="30">
        <f t="shared" ref="Q7:Q18" si="3">(P7-O7)/O7</f>
        <v>-0.17995029984207872</v>
      </c>
      <c r="R7" s="30"/>
      <c r="S7" s="11">
        <f t="shared" ref="S7:T18" si="4">F7/0.26</f>
        <v>44282.469230769224</v>
      </c>
      <c r="T7" s="11">
        <f t="shared" si="4"/>
        <v>39323.126923076925</v>
      </c>
      <c r="U7" s="30">
        <f t="shared" ref="U7:U18" si="5">(T7-S7)/S7</f>
        <v>-0.11199335524511245</v>
      </c>
      <c r="V7" s="30"/>
      <c r="W7" s="11">
        <f>J7/0.23</f>
        <v>1132.3565217391304</v>
      </c>
      <c r="X7" s="11">
        <f>K7/0.23</f>
        <v>1091.0913043478261</v>
      </c>
      <c r="Y7" s="30">
        <f t="shared" ref="Y7:Y18" si="6">(X7-W7)/W7</f>
        <v>-3.6441894932460937E-2</v>
      </c>
    </row>
    <row r="8" spans="1:26" x14ac:dyDescent="0.2">
      <c r="A8" s="27" t="s">
        <v>14</v>
      </c>
      <c r="B8" s="28">
        <v>29868.557000000001</v>
      </c>
      <c r="C8" s="91">
        <v>29041.752</v>
      </c>
      <c r="D8" s="30">
        <f t="shared" si="0"/>
        <v>-2.7681451099227868E-2</v>
      </c>
      <c r="E8" s="30"/>
      <c r="F8" s="31">
        <v>10986.847</v>
      </c>
      <c r="G8" s="29">
        <v>11703.472</v>
      </c>
      <c r="H8" s="30">
        <f t="shared" si="1"/>
        <v>6.5225719444350141E-2</v>
      </c>
      <c r="J8" s="31">
        <v>171.13399999999999</v>
      </c>
      <c r="K8" s="29">
        <v>32.451999999999998</v>
      </c>
      <c r="L8" s="30">
        <f t="shared" si="2"/>
        <v>-0.81037082052660492</v>
      </c>
      <c r="N8" s="27" t="s">
        <v>14</v>
      </c>
      <c r="O8" s="11">
        <f t="shared" ref="O8:P18" si="7">B8/0.24</f>
        <v>124452.32083333335</v>
      </c>
      <c r="P8" s="11">
        <f t="shared" si="7"/>
        <v>121007.3</v>
      </c>
      <c r="Q8" s="30">
        <f t="shared" si="3"/>
        <v>-2.7681451099227934E-2</v>
      </c>
      <c r="R8" s="30"/>
      <c r="S8" s="11">
        <f t="shared" si="4"/>
        <v>42257.103846153841</v>
      </c>
      <c r="T8" s="11">
        <f t="shared" si="4"/>
        <v>45013.353846153841</v>
      </c>
      <c r="U8" s="30">
        <f t="shared" si="5"/>
        <v>6.5225719444350141E-2</v>
      </c>
      <c r="V8" s="30"/>
      <c r="W8" s="11">
        <f t="shared" ref="W8:X18" si="8">J8/0.23</f>
        <v>744.06086956521733</v>
      </c>
      <c r="X8" s="11">
        <f>K8/0.23</f>
        <v>141.09565217391304</v>
      </c>
      <c r="Y8" s="30">
        <f t="shared" si="6"/>
        <v>-0.81037082052660492</v>
      </c>
    </row>
    <row r="9" spans="1:26" x14ac:dyDescent="0.2">
      <c r="A9" s="27" t="s">
        <v>15</v>
      </c>
      <c r="B9" s="28">
        <v>28727.058000000001</v>
      </c>
      <c r="C9" s="91">
        <v>24706.451000000001</v>
      </c>
      <c r="D9" s="30">
        <f t="shared" si="0"/>
        <v>-0.13995888475596768</v>
      </c>
      <c r="E9" s="30"/>
      <c r="F9" s="31">
        <v>10408.092000000001</v>
      </c>
      <c r="G9" s="29">
        <v>9406.9840000000004</v>
      </c>
      <c r="H9" s="30">
        <f t="shared" si="1"/>
        <v>-9.6185544862593467E-2</v>
      </c>
      <c r="J9" s="31">
        <v>125.319</v>
      </c>
      <c r="K9" s="29">
        <v>157.43899999999999</v>
      </c>
      <c r="L9" s="30">
        <f t="shared" si="2"/>
        <v>0.25630590732450775</v>
      </c>
      <c r="N9" s="27" t="s">
        <v>15</v>
      </c>
      <c r="O9" s="11">
        <f t="shared" si="7"/>
        <v>119696.07500000001</v>
      </c>
      <c r="P9" s="11">
        <f t="shared" si="7"/>
        <v>102943.54583333334</v>
      </c>
      <c r="Q9" s="30">
        <f t="shared" si="3"/>
        <v>-0.13995888475596777</v>
      </c>
      <c r="R9" s="30"/>
      <c r="S9" s="11">
        <f t="shared" si="4"/>
        <v>40031.123076923075</v>
      </c>
      <c r="T9" s="11">
        <f t="shared" si="4"/>
        <v>36180.707692307689</v>
      </c>
      <c r="U9" s="30">
        <f t="shared" si="5"/>
        <v>-9.6185544862593481E-2</v>
      </c>
      <c r="V9" s="30"/>
      <c r="W9" s="11">
        <f t="shared" si="8"/>
        <v>544.86521739130433</v>
      </c>
      <c r="X9" s="11">
        <f>K9/0.23</f>
        <v>684.51739130434771</v>
      </c>
      <c r="Y9" s="30">
        <f t="shared" si="6"/>
        <v>0.2563059073245077</v>
      </c>
    </row>
    <row r="10" spans="1:26" x14ac:dyDescent="0.2">
      <c r="A10" s="27" t="s">
        <v>16</v>
      </c>
      <c r="B10" s="28">
        <v>27308.473000000002</v>
      </c>
      <c r="C10" s="91">
        <v>27181.91</v>
      </c>
      <c r="D10" s="30">
        <f t="shared" si="0"/>
        <v>-4.6345689120003862E-3</v>
      </c>
      <c r="E10" s="30"/>
      <c r="F10" s="31">
        <v>10725.939</v>
      </c>
      <c r="G10" s="29">
        <v>11479.8</v>
      </c>
      <c r="H10" s="30">
        <f t="shared" si="1"/>
        <v>7.0283916401165339E-2</v>
      </c>
      <c r="J10" s="31">
        <v>159.33600000000001</v>
      </c>
      <c r="K10" s="29">
        <v>263.45600000000002</v>
      </c>
      <c r="L10" s="30">
        <f t="shared" si="2"/>
        <v>0.65346186674700002</v>
      </c>
      <c r="N10" s="27" t="s">
        <v>16</v>
      </c>
      <c r="O10" s="11">
        <f t="shared" si="7"/>
        <v>113785.30416666668</v>
      </c>
      <c r="P10" s="11">
        <f t="shared" si="7"/>
        <v>113257.95833333334</v>
      </c>
      <c r="Q10" s="30">
        <f t="shared" si="3"/>
        <v>-4.6345689120003749E-3</v>
      </c>
      <c r="R10" s="30"/>
      <c r="S10" s="11">
        <f t="shared" si="4"/>
        <v>41253.61153846154</v>
      </c>
      <c r="T10" s="11">
        <f t="shared" si="4"/>
        <v>44153.076923076922</v>
      </c>
      <c r="U10" s="30">
        <f t="shared" si="5"/>
        <v>7.0283916401165353E-2</v>
      </c>
      <c r="V10" s="30"/>
      <c r="W10" s="11">
        <f t="shared" si="8"/>
        <v>692.76521739130442</v>
      </c>
      <c r="X10" s="11">
        <f t="shared" si="8"/>
        <v>1145.4608695652173</v>
      </c>
      <c r="Y10" s="30">
        <f t="shared" si="6"/>
        <v>0.6534618667469998</v>
      </c>
    </row>
    <row r="11" spans="1:26" x14ac:dyDescent="0.2">
      <c r="A11" s="27" t="s">
        <v>17</v>
      </c>
      <c r="B11" s="28">
        <v>26134.297999999999</v>
      </c>
      <c r="C11" s="91">
        <v>25129.037</v>
      </c>
      <c r="D11" s="30">
        <f t="shared" si="0"/>
        <v>-3.8465200021825671E-2</v>
      </c>
      <c r="E11" s="30"/>
      <c r="F11" s="31">
        <v>10102.742</v>
      </c>
      <c r="G11" s="29">
        <v>10121.255999999999</v>
      </c>
      <c r="H11" s="30">
        <f t="shared" si="1"/>
        <v>1.8325717909057971E-3</v>
      </c>
      <c r="J11" s="31">
        <v>132.232</v>
      </c>
      <c r="K11" s="29">
        <v>24.709</v>
      </c>
      <c r="L11" s="30">
        <f t="shared" si="2"/>
        <v>-0.81313902837437224</v>
      </c>
      <c r="N11" s="27" t="s">
        <v>17</v>
      </c>
      <c r="O11" s="11">
        <f t="shared" si="7"/>
        <v>108892.90833333333</v>
      </c>
      <c r="P11" s="11">
        <f>C11/0.24</f>
        <v>104704.32083333333</v>
      </c>
      <c r="Q11" s="30">
        <f t="shared" si="3"/>
        <v>-3.8465200021825671E-2</v>
      </c>
      <c r="R11" s="30"/>
      <c r="S11" s="11">
        <f t="shared" si="4"/>
        <v>38856.699999999997</v>
      </c>
      <c r="T11" s="11">
        <f t="shared" si="4"/>
        <v>38927.907692307686</v>
      </c>
      <c r="U11" s="30">
        <f t="shared" si="5"/>
        <v>1.8325717909057973E-3</v>
      </c>
      <c r="V11" s="30"/>
      <c r="W11" s="11">
        <f>J11/0.23</f>
        <v>574.92173913043473</v>
      </c>
      <c r="X11" s="11">
        <f t="shared" si="8"/>
        <v>107.43043478260869</v>
      </c>
      <c r="Y11" s="30">
        <f t="shared" si="6"/>
        <v>-0.81313902837437224</v>
      </c>
    </row>
    <row r="12" spans="1:26" x14ac:dyDescent="0.2">
      <c r="A12" s="27" t="s">
        <v>18</v>
      </c>
      <c r="B12" s="28">
        <v>29788.78</v>
      </c>
      <c r="C12" s="91">
        <v>25827.635999999999</v>
      </c>
      <c r="D12" s="30">
        <f t="shared" si="0"/>
        <v>-0.13297436148778166</v>
      </c>
      <c r="E12" s="30"/>
      <c r="F12" s="31">
        <v>12216.688</v>
      </c>
      <c r="G12" s="29">
        <v>12539.733</v>
      </c>
      <c r="H12" s="30">
        <f t="shared" si="1"/>
        <v>2.6442927903209124E-2</v>
      </c>
      <c r="J12" s="31">
        <v>358.3</v>
      </c>
      <c r="K12" s="29">
        <v>511.16</v>
      </c>
      <c r="L12" s="30">
        <f t="shared" si="2"/>
        <v>0.42662573262629083</v>
      </c>
      <c r="N12" s="27" t="s">
        <v>18</v>
      </c>
      <c r="O12" s="11">
        <f t="shared" si="7"/>
        <v>124119.91666666667</v>
      </c>
      <c r="P12" s="11">
        <f t="shared" si="7"/>
        <v>107615.15</v>
      </c>
      <c r="Q12" s="30">
        <f t="shared" si="3"/>
        <v>-0.13297436148778172</v>
      </c>
      <c r="R12" s="30"/>
      <c r="S12" s="11">
        <f t="shared" si="4"/>
        <v>46987.261538461535</v>
      </c>
      <c r="T12" s="11">
        <f t="shared" si="4"/>
        <v>48229.742307692308</v>
      </c>
      <c r="U12" s="30">
        <f t="shared" si="5"/>
        <v>2.6442927903209203E-2</v>
      </c>
      <c r="V12" s="30"/>
      <c r="W12" s="11">
        <f t="shared" si="8"/>
        <v>1557.8260869565217</v>
      </c>
      <c r="X12" s="11">
        <f t="shared" si="8"/>
        <v>2222.4347826086955</v>
      </c>
      <c r="Y12" s="30">
        <f t="shared" si="6"/>
        <v>0.42662573262629072</v>
      </c>
      <c r="Z12" s="32"/>
    </row>
    <row r="13" spans="1:26" x14ac:dyDescent="0.2">
      <c r="A13" s="27" t="s">
        <v>19</v>
      </c>
      <c r="B13" s="28">
        <v>26306.467000000001</v>
      </c>
      <c r="C13" s="91">
        <v>24836.882000000001</v>
      </c>
      <c r="D13" s="30">
        <f t="shared" si="0"/>
        <v>-5.5864020052559665E-2</v>
      </c>
      <c r="E13" s="30"/>
      <c r="F13" s="31">
        <v>9240.107</v>
      </c>
      <c r="G13" s="29">
        <v>10757.714</v>
      </c>
      <c r="H13" s="30">
        <f t="shared" si="1"/>
        <v>0.16424127988994067</v>
      </c>
      <c r="J13" s="31">
        <v>245.62899999999999</v>
      </c>
      <c r="K13" s="29">
        <v>199.23099999999999</v>
      </c>
      <c r="L13" s="30">
        <f t="shared" si="2"/>
        <v>-0.18889463377695628</v>
      </c>
      <c r="N13" s="27" t="s">
        <v>19</v>
      </c>
      <c r="O13" s="11">
        <f t="shared" si="7"/>
        <v>109610.27916666667</v>
      </c>
      <c r="P13" s="11">
        <f t="shared" si="7"/>
        <v>103487.00833333335</v>
      </c>
      <c r="Q13" s="30">
        <f t="shared" si="3"/>
        <v>-5.5864020052559651E-2</v>
      </c>
      <c r="R13" s="30"/>
      <c r="S13" s="11">
        <f t="shared" si="4"/>
        <v>35538.873076923075</v>
      </c>
      <c r="T13" s="11">
        <f t="shared" si="4"/>
        <v>41375.823076923072</v>
      </c>
      <c r="U13" s="30">
        <f t="shared" si="5"/>
        <v>0.16424127988994058</v>
      </c>
      <c r="V13" s="30"/>
      <c r="W13" s="11">
        <f t="shared" si="8"/>
        <v>1067.9521739130435</v>
      </c>
      <c r="X13" s="11">
        <f t="shared" si="8"/>
        <v>866.22173913043468</v>
      </c>
      <c r="Y13" s="30">
        <f t="shared" si="6"/>
        <v>-0.18889463377695637</v>
      </c>
      <c r="Z13" s="32"/>
    </row>
    <row r="14" spans="1:26" x14ac:dyDescent="0.2">
      <c r="A14" s="27" t="s">
        <v>20</v>
      </c>
      <c r="B14" s="28">
        <v>26984.556</v>
      </c>
      <c r="C14" s="91">
        <v>22350.13</v>
      </c>
      <c r="D14" s="30">
        <f t="shared" si="0"/>
        <v>-0.1717436447722171</v>
      </c>
      <c r="E14" s="30"/>
      <c r="F14" s="31">
        <v>10438.875</v>
      </c>
      <c r="G14" s="29">
        <v>8949.1299999999992</v>
      </c>
      <c r="H14" s="30">
        <f t="shared" si="1"/>
        <v>-0.1427112595945445</v>
      </c>
      <c r="J14" s="31">
        <v>86.135999999999996</v>
      </c>
      <c r="K14" s="29">
        <v>147.80600000000001</v>
      </c>
      <c r="L14" s="30">
        <f t="shared" si="2"/>
        <v>0.71596080616699198</v>
      </c>
      <c r="N14" s="27" t="s">
        <v>20</v>
      </c>
      <c r="O14" s="11">
        <f t="shared" si="7"/>
        <v>112435.65000000001</v>
      </c>
      <c r="P14" s="11">
        <f t="shared" si="7"/>
        <v>93125.541666666672</v>
      </c>
      <c r="Q14" s="30">
        <f t="shared" si="3"/>
        <v>-0.17174364477221712</v>
      </c>
      <c r="R14" s="30"/>
      <c r="S14" s="11">
        <f t="shared" si="4"/>
        <v>40149.519230769227</v>
      </c>
      <c r="T14" s="11">
        <f t="shared" si="4"/>
        <v>34419.730769230766</v>
      </c>
      <c r="U14" s="30">
        <f t="shared" si="5"/>
        <v>-0.14271125959454442</v>
      </c>
      <c r="V14" s="30"/>
      <c r="W14" s="11">
        <f t="shared" si="8"/>
        <v>374.50434782608693</v>
      </c>
      <c r="X14" s="11">
        <f t="shared" si="8"/>
        <v>642.63478260869567</v>
      </c>
      <c r="Y14" s="30">
        <f t="shared" si="6"/>
        <v>0.71596080616699187</v>
      </c>
      <c r="Z14" s="32"/>
    </row>
    <row r="15" spans="1:26" x14ac:dyDescent="0.2">
      <c r="A15" s="27" t="s">
        <v>21</v>
      </c>
      <c r="B15" s="28">
        <v>27289.727999999999</v>
      </c>
      <c r="C15" s="91">
        <v>22426.135999999999</v>
      </c>
      <c r="D15" s="30">
        <f t="shared" si="0"/>
        <v>-0.17822061106655224</v>
      </c>
      <c r="E15" s="30"/>
      <c r="F15" s="31">
        <v>10632.194</v>
      </c>
      <c r="G15" s="29">
        <v>10691.849</v>
      </c>
      <c r="H15" s="30">
        <f t="shared" si="1"/>
        <v>5.6107892688941393E-3</v>
      </c>
      <c r="J15" s="31">
        <v>164.59800000000001</v>
      </c>
      <c r="K15" s="29">
        <v>152.81100000000001</v>
      </c>
      <c r="L15" s="30">
        <f t="shared" si="2"/>
        <v>-7.1610833667480805E-2</v>
      </c>
      <c r="N15" s="27" t="s">
        <v>21</v>
      </c>
      <c r="O15" s="11">
        <f t="shared" si="7"/>
        <v>113707.2</v>
      </c>
      <c r="P15" s="11">
        <f t="shared" si="7"/>
        <v>93442.233333333337</v>
      </c>
      <c r="Q15" s="30">
        <f t="shared" si="3"/>
        <v>-0.17822061106655215</v>
      </c>
      <c r="R15" s="30"/>
      <c r="S15" s="11">
        <f t="shared" si="4"/>
        <v>40893.053846153845</v>
      </c>
      <c r="T15" s="11">
        <f t="shared" si="4"/>
        <v>41122.49615384615</v>
      </c>
      <c r="U15" s="30">
        <f t="shared" si="5"/>
        <v>5.6107892688940092E-3</v>
      </c>
      <c r="V15" s="30"/>
      <c r="W15" s="11">
        <f t="shared" si="8"/>
        <v>715.64347826086964</v>
      </c>
      <c r="X15" s="11">
        <f t="shared" si="8"/>
        <v>664.39565217391305</v>
      </c>
      <c r="Y15" s="30">
        <f t="shared" si="6"/>
        <v>-7.1610833667480861E-2</v>
      </c>
    </row>
    <row r="16" spans="1:26" x14ac:dyDescent="0.2">
      <c r="A16" s="27" t="s">
        <v>22</v>
      </c>
      <c r="B16" s="28">
        <v>23814.831999999999</v>
      </c>
      <c r="C16" s="91">
        <v>27696.275000000001</v>
      </c>
      <c r="D16" s="30">
        <f t="shared" si="0"/>
        <v>0.16298426963499063</v>
      </c>
      <c r="E16" s="30"/>
      <c r="F16" s="31">
        <v>10228.713</v>
      </c>
      <c r="G16" s="29">
        <v>12516.031999999999</v>
      </c>
      <c r="H16" s="30">
        <f t="shared" si="1"/>
        <v>0.22361747758491216</v>
      </c>
      <c r="J16" s="31">
        <v>235.59399999999999</v>
      </c>
      <c r="K16" s="29">
        <v>265.99</v>
      </c>
      <c r="L16" s="30">
        <f t="shared" si="2"/>
        <v>0.12901856583783974</v>
      </c>
      <c r="N16" s="27" t="s">
        <v>22</v>
      </c>
      <c r="O16" s="11">
        <f t="shared" si="7"/>
        <v>99228.46666666666</v>
      </c>
      <c r="P16" s="11">
        <f t="shared" si="7"/>
        <v>115401.14583333334</v>
      </c>
      <c r="Q16" s="30">
        <f t="shared" si="3"/>
        <v>0.16298426963499069</v>
      </c>
      <c r="R16" s="30"/>
      <c r="S16" s="11">
        <f t="shared" si="4"/>
        <v>39341.203846153847</v>
      </c>
      <c r="T16" s="11">
        <f t="shared" si="4"/>
        <v>48138.584615384614</v>
      </c>
      <c r="U16" s="30">
        <f t="shared" si="5"/>
        <v>0.22361747758491216</v>
      </c>
      <c r="V16" s="30"/>
      <c r="W16" s="11">
        <f t="shared" si="8"/>
        <v>1024.3217391304347</v>
      </c>
      <c r="X16" s="11">
        <f t="shared" si="8"/>
        <v>1156.4782608695652</v>
      </c>
      <c r="Y16" s="30">
        <f t="shared" si="6"/>
        <v>0.12901856583783977</v>
      </c>
    </row>
    <row r="17" spans="1:27" ht="12" customHeight="1" x14ac:dyDescent="0.2">
      <c r="A17" s="27" t="s">
        <v>23</v>
      </c>
      <c r="B17" s="28">
        <v>20123.041000000001</v>
      </c>
      <c r="C17" s="91">
        <v>25965.41</v>
      </c>
      <c r="D17" s="30">
        <f>(C17-B17)/B17</f>
        <v>0.29033231110546354</v>
      </c>
      <c r="E17" s="30"/>
      <c r="F17" s="31">
        <v>10961.313</v>
      </c>
      <c r="G17" s="29">
        <v>10152.749</v>
      </c>
      <c r="H17" s="30">
        <f t="shared" si="1"/>
        <v>-7.3765250568066099E-2</v>
      </c>
      <c r="J17" s="31">
        <v>157.88200000000001</v>
      </c>
      <c r="K17" s="29">
        <v>150.52199999999999</v>
      </c>
      <c r="L17" s="30">
        <f t="shared" si="2"/>
        <v>-4.661709377889825E-2</v>
      </c>
      <c r="N17" s="27" t="s">
        <v>23</v>
      </c>
      <c r="O17" s="11">
        <f t="shared" si="7"/>
        <v>83846.00416666668</v>
      </c>
      <c r="P17" s="11">
        <f t="shared" si="7"/>
        <v>108189.20833333334</v>
      </c>
      <c r="Q17" s="30">
        <f t="shared" si="3"/>
        <v>0.29033231110546354</v>
      </c>
      <c r="R17" s="30"/>
      <c r="S17" s="11">
        <f t="shared" si="4"/>
        <v>42158.896153846152</v>
      </c>
      <c r="T17" s="11">
        <f t="shared" si="4"/>
        <v>39049.034615384611</v>
      </c>
      <c r="U17" s="30">
        <f t="shared" si="5"/>
        <v>-7.3765250568066126E-2</v>
      </c>
      <c r="V17" s="30"/>
      <c r="W17" s="11">
        <f t="shared" si="8"/>
        <v>686.4434782608696</v>
      </c>
      <c r="X17" s="11">
        <f t="shared" si="8"/>
        <v>654.44347826086948</v>
      </c>
      <c r="Y17" s="30">
        <f t="shared" si="6"/>
        <v>-4.6617093778898326E-2</v>
      </c>
    </row>
    <row r="18" spans="1:27" ht="12" customHeight="1" x14ac:dyDescent="0.2">
      <c r="A18" s="27" t="s">
        <v>24</v>
      </c>
      <c r="B18" s="33">
        <v>22234.075000000001</v>
      </c>
      <c r="C18" s="92">
        <v>28744.289000000001</v>
      </c>
      <c r="D18" s="35">
        <f t="shared" si="0"/>
        <v>0.29280345595667912</v>
      </c>
      <c r="F18" s="36">
        <v>9497.259</v>
      </c>
      <c r="G18" s="34">
        <v>10917.618</v>
      </c>
      <c r="H18" s="35">
        <f t="shared" si="1"/>
        <v>0.14955462412891976</v>
      </c>
      <c r="J18" s="36">
        <v>41.183999999999997</v>
      </c>
      <c r="K18" s="34">
        <v>31.885000000000002</v>
      </c>
      <c r="L18" s="35">
        <f t="shared" si="2"/>
        <v>-0.22579156954156945</v>
      </c>
      <c r="N18" s="27" t="s">
        <v>24</v>
      </c>
      <c r="O18" s="11">
        <f t="shared" si="7"/>
        <v>92641.979166666672</v>
      </c>
      <c r="P18" s="11">
        <f t="shared" si="7"/>
        <v>119767.87083333333</v>
      </c>
      <c r="Q18" s="35">
        <f t="shared" si="3"/>
        <v>0.29280345595667906</v>
      </c>
      <c r="R18" s="30"/>
      <c r="S18" s="37">
        <f t="shared" si="4"/>
        <v>36527.919230769228</v>
      </c>
      <c r="T18" s="37">
        <f t="shared" si="4"/>
        <v>41990.838461538464</v>
      </c>
      <c r="U18" s="35">
        <f t="shared" si="5"/>
        <v>0.14955462412891987</v>
      </c>
      <c r="V18" s="30"/>
      <c r="W18" s="37">
        <f t="shared" si="8"/>
        <v>179.06086956521736</v>
      </c>
      <c r="X18" s="37">
        <f t="shared" si="8"/>
        <v>138.63043478260869</v>
      </c>
      <c r="Y18" s="35">
        <f t="shared" si="6"/>
        <v>-0.22579156954156945</v>
      </c>
    </row>
    <row r="19" spans="1:27" ht="15.75" customHeight="1" x14ac:dyDescent="0.2">
      <c r="A19" s="38"/>
      <c r="B19" s="8" t="s">
        <v>25</v>
      </c>
      <c r="C19" s="8"/>
      <c r="D19" s="30"/>
      <c r="F19" s="8" t="s">
        <v>26</v>
      </c>
      <c r="G19" s="8"/>
      <c r="H19" s="30"/>
      <c r="J19" s="8" t="s">
        <v>27</v>
      </c>
      <c r="K19" s="8"/>
      <c r="L19" s="30"/>
      <c r="N19" s="38"/>
      <c r="O19" s="39" t="s">
        <v>25</v>
      </c>
      <c r="P19" s="39"/>
      <c r="Q19" s="30"/>
      <c r="R19" s="30"/>
      <c r="S19" s="11" t="s">
        <v>28</v>
      </c>
      <c r="T19" s="40"/>
      <c r="U19" s="30"/>
      <c r="V19" s="30"/>
      <c r="W19" s="11" t="s">
        <v>27</v>
      </c>
      <c r="X19" s="40"/>
      <c r="Y19" s="30"/>
    </row>
    <row r="20" spans="1:27" ht="15.75" customHeight="1" x14ac:dyDescent="0.2">
      <c r="A20" s="27" t="s">
        <v>29</v>
      </c>
      <c r="B20" s="41" t="s">
        <v>77</v>
      </c>
      <c r="C20" s="41" t="s">
        <v>80</v>
      </c>
      <c r="D20" s="30" t="s">
        <v>30</v>
      </c>
      <c r="F20" s="42" t="str">
        <f>B20</f>
        <v>FY 20</v>
      </c>
      <c r="G20" s="42" t="str">
        <f>C20</f>
        <v>FY21</v>
      </c>
      <c r="H20" s="30" t="s">
        <v>30</v>
      </c>
      <c r="I20" s="8"/>
      <c r="J20" s="42" t="str">
        <f>F20</f>
        <v>FY 20</v>
      </c>
      <c r="K20" s="42" t="str">
        <f>G20</f>
        <v>FY21</v>
      </c>
      <c r="L20" s="8" t="s">
        <v>31</v>
      </c>
      <c r="M20" s="8"/>
      <c r="N20" s="27" t="s">
        <v>29</v>
      </c>
      <c r="O20" s="42" t="str">
        <f>B20</f>
        <v>FY 20</v>
      </c>
      <c r="P20" s="42" t="str">
        <f>C20</f>
        <v>FY21</v>
      </c>
      <c r="Q20" s="30" t="s">
        <v>33</v>
      </c>
      <c r="R20" s="30"/>
      <c r="S20" s="42" t="str">
        <f>B20</f>
        <v>FY 20</v>
      </c>
      <c r="T20" s="42" t="str">
        <f>C20</f>
        <v>FY21</v>
      </c>
      <c r="U20" s="30" t="s">
        <v>33</v>
      </c>
      <c r="V20" s="30"/>
      <c r="W20" s="13" t="str">
        <f>B20</f>
        <v>FY 20</v>
      </c>
      <c r="X20" s="43" t="str">
        <f>C20</f>
        <v>FY21</v>
      </c>
      <c r="Y20" s="30" t="s">
        <v>34</v>
      </c>
    </row>
    <row r="21" spans="1:27" ht="12.95" customHeight="1" x14ac:dyDescent="0.2">
      <c r="A21" s="27" t="s">
        <v>32</v>
      </c>
      <c r="B21" s="14">
        <f>SUM(B7:B18)</f>
        <v>318522.62700000009</v>
      </c>
      <c r="C21" s="96">
        <f>SUM(C7:C18)</f>
        <v>308460.46099999995</v>
      </c>
      <c r="D21" s="30">
        <f>(C21-B21)/B21</f>
        <v>-3.1590113690730483E-2</v>
      </c>
      <c r="E21" s="44"/>
      <c r="F21" s="14">
        <f>SUM(F7:F18)</f>
        <v>126952.211</v>
      </c>
      <c r="G21" s="96">
        <f>SUM(G7:G18)</f>
        <v>129460.35</v>
      </c>
      <c r="H21" s="30">
        <f>(G21-F21)/F21</f>
        <v>1.9756560206738032E-2</v>
      </c>
      <c r="J21" s="14">
        <f>SUM(J7:J18)</f>
        <v>2137.7860000000001</v>
      </c>
      <c r="K21" s="14">
        <f>SUM(K7:K18)</f>
        <v>2188.4120000000003</v>
      </c>
      <c r="L21" s="30">
        <f>(K21-J21)/J21</f>
        <v>2.3681509748871121E-2</v>
      </c>
      <c r="N21" s="27" t="str">
        <f>A21</f>
        <v>FYTD</v>
      </c>
      <c r="O21" s="32">
        <f>SUM(O7:O18)</f>
        <v>1327177.6125</v>
      </c>
      <c r="P21" s="11">
        <f>SUM(P7:P18)</f>
        <v>1285251.9208333332</v>
      </c>
      <c r="Q21" s="30">
        <f>(P21-O21)/O21</f>
        <v>-3.1590113690730212E-2</v>
      </c>
      <c r="R21" s="30"/>
      <c r="S21" s="45">
        <f>SUM(S7:S18)</f>
        <v>488277.73461538466</v>
      </c>
      <c r="T21" s="11">
        <f>SUM(T7:T18)</f>
        <v>497924.42307692306</v>
      </c>
      <c r="U21" s="30">
        <f>(T21-S21)/S21</f>
        <v>1.9756560206737831E-2</v>
      </c>
      <c r="V21" s="30"/>
      <c r="W21" s="45">
        <f>SUM(W7:W18)</f>
        <v>9294.721739130433</v>
      </c>
      <c r="X21" s="11">
        <f>SUM(X7:X18)</f>
        <v>9514.8347826086956</v>
      </c>
      <c r="Y21" s="30">
        <f>(X21-W21)/W21</f>
        <v>2.3681509748871222E-2</v>
      </c>
    </row>
    <row r="22" spans="1:27" x14ac:dyDescent="0.2">
      <c r="A22" s="27" t="s">
        <v>35</v>
      </c>
      <c r="B22" s="30">
        <f>B21/B23</f>
        <v>1</v>
      </c>
      <c r="C22" s="30">
        <f>C21/C23</f>
        <v>1</v>
      </c>
      <c r="D22" s="46" t="s">
        <v>36</v>
      </c>
      <c r="F22" s="30">
        <f>F21/F23</f>
        <v>1</v>
      </c>
      <c r="G22" s="30">
        <f>G21/G23</f>
        <v>1</v>
      </c>
      <c r="H22" s="46" t="s">
        <v>36</v>
      </c>
      <c r="J22" s="30">
        <f>J21/J23</f>
        <v>1</v>
      </c>
      <c r="K22" s="30">
        <f>K21/K23</f>
        <v>1</v>
      </c>
      <c r="L22" s="47" t="s">
        <v>36</v>
      </c>
      <c r="N22" s="27" t="str">
        <f>A22</f>
        <v>% total</v>
      </c>
      <c r="O22" s="30">
        <f>O21/O23</f>
        <v>1</v>
      </c>
      <c r="P22" s="30">
        <f>P21/P23</f>
        <v>1</v>
      </c>
      <c r="Q22" s="48" t="s">
        <v>36</v>
      </c>
      <c r="S22" s="30">
        <f>S21/S23</f>
        <v>1</v>
      </c>
      <c r="T22" s="30">
        <f>T21/T23</f>
        <v>1</v>
      </c>
      <c r="U22" s="47" t="s">
        <v>36</v>
      </c>
      <c r="W22" s="30">
        <f>W21/W23</f>
        <v>1</v>
      </c>
      <c r="X22" s="30">
        <f>X21/X23</f>
        <v>1</v>
      </c>
      <c r="Y22" s="47" t="s">
        <v>36</v>
      </c>
    </row>
    <row r="23" spans="1:27" x14ac:dyDescent="0.2">
      <c r="A23" s="27" t="s">
        <v>37</v>
      </c>
      <c r="B23" s="14">
        <f>SUM(B7:B18)</f>
        <v>318522.62700000009</v>
      </c>
      <c r="C23" s="14">
        <f>SUM(C7:C18)</f>
        <v>308460.46099999995</v>
      </c>
      <c r="D23" s="30">
        <f>(C23-B23)/B23</f>
        <v>-3.1590113690730483E-2</v>
      </c>
      <c r="E23" s="44"/>
      <c r="F23" s="14">
        <f>SUM(F7:F18)</f>
        <v>126952.211</v>
      </c>
      <c r="G23" s="14">
        <f>SUM(G7:G18)</f>
        <v>129460.35</v>
      </c>
      <c r="H23" s="30">
        <f>(G23-F23)/F23</f>
        <v>1.9756560206738032E-2</v>
      </c>
      <c r="I23" s="44"/>
      <c r="J23" s="14">
        <f>SUM(J7:J18)</f>
        <v>2137.7860000000001</v>
      </c>
      <c r="K23" s="14">
        <f>SUM(K7:K18)</f>
        <v>2188.4120000000003</v>
      </c>
      <c r="L23" s="30">
        <f>(K23-J23)/J23</f>
        <v>2.3681509748871121E-2</v>
      </c>
      <c r="N23" s="27" t="str">
        <f>A23</f>
        <v>FYTotal</v>
      </c>
      <c r="O23" s="11">
        <f>SUM(O7:O18)</f>
        <v>1327177.6125</v>
      </c>
      <c r="P23" s="11">
        <f>SUM(P7:P18)</f>
        <v>1285251.9208333332</v>
      </c>
      <c r="Q23" s="30">
        <f>(P23-O23)/O23</f>
        <v>-3.1590113690730212E-2</v>
      </c>
      <c r="R23" s="30"/>
      <c r="S23" s="11">
        <f>SUM(S7:S18)</f>
        <v>488277.73461538466</v>
      </c>
      <c r="T23" s="11">
        <f>SUM(T7:T18)</f>
        <v>497924.42307692306</v>
      </c>
      <c r="U23" s="30">
        <f>(T23-S23)/S23</f>
        <v>1.9756560206737831E-2</v>
      </c>
      <c r="V23" s="30"/>
      <c r="W23" s="11">
        <f>SUM(W7:W18)</f>
        <v>9294.721739130433</v>
      </c>
      <c r="X23" s="11">
        <f>SUM(X7:X18)</f>
        <v>9514.8347826086956</v>
      </c>
      <c r="Y23" s="30">
        <f>(X23-W23)/W23</f>
        <v>2.3681509748871222E-2</v>
      </c>
    </row>
    <row r="24" spans="1:27" x14ac:dyDescent="0.2">
      <c r="A24" s="27"/>
      <c r="B24" s="11"/>
      <c r="C24" s="49"/>
      <c r="D24" s="50"/>
      <c r="F24" s="11"/>
      <c r="G24" s="49"/>
      <c r="H24" s="50"/>
      <c r="J24" s="11"/>
      <c r="K24" s="49"/>
      <c r="L24" s="50"/>
      <c r="N24" s="27"/>
      <c r="O24" s="51"/>
      <c r="P24" s="11"/>
      <c r="Q24" s="11"/>
      <c r="R24" s="11"/>
      <c r="S24" s="11"/>
      <c r="T24" s="11"/>
      <c r="U24" s="11"/>
      <c r="V24" s="11"/>
      <c r="W24" s="11"/>
      <c r="X24" s="45"/>
      <c r="Y24" s="52"/>
      <c r="Z24" s="50"/>
    </row>
    <row r="25" spans="1:27" x14ac:dyDescent="0.2">
      <c r="A25" s="47"/>
      <c r="B25" s="18"/>
      <c r="C25" s="19" t="s">
        <v>38</v>
      </c>
      <c r="D25" s="53"/>
      <c r="F25" s="54"/>
      <c r="G25" s="19" t="s">
        <v>39</v>
      </c>
      <c r="H25" s="55"/>
      <c r="I25" s="56"/>
      <c r="J25" s="54"/>
      <c r="K25" s="19" t="str">
        <f>C6&amp; " Distribution "</f>
        <v xml:space="preserve">FY 21 Distribution </v>
      </c>
      <c r="L25" s="55"/>
      <c r="N25" s="27"/>
      <c r="O25" s="54"/>
      <c r="P25" s="19" t="str">
        <f>C25</f>
        <v>Interstate</v>
      </c>
      <c r="Q25" s="53"/>
      <c r="S25" s="54"/>
      <c r="T25" s="57" t="str">
        <f>G25</f>
        <v xml:space="preserve">      Trip Permits</v>
      </c>
      <c r="U25" s="53" t="s">
        <v>40</v>
      </c>
      <c r="V25" s="58"/>
      <c r="W25" s="54"/>
      <c r="X25" s="19" t="str">
        <f>G45</f>
        <v>Total Refunds</v>
      </c>
      <c r="Y25" s="17"/>
      <c r="Z25" s="20"/>
    </row>
    <row r="26" spans="1:27" x14ac:dyDescent="0.2">
      <c r="A26" s="21" t="s">
        <v>11</v>
      </c>
      <c r="B26" s="25" t="str">
        <f>B6</f>
        <v>FY 20</v>
      </c>
      <c r="C26" s="21" t="str">
        <f>C6</f>
        <v>FY 21</v>
      </c>
      <c r="D26" s="24" t="str">
        <f>D6</f>
        <v>% chg</v>
      </c>
      <c r="F26" s="25" t="str">
        <f>B6</f>
        <v>FY 20</v>
      </c>
      <c r="G26" s="21" t="str">
        <f>C6</f>
        <v>FY 21</v>
      </c>
      <c r="H26" s="24" t="str">
        <f>H6</f>
        <v>% chg</v>
      </c>
      <c r="I26" s="26"/>
      <c r="J26" s="25" t="s">
        <v>41</v>
      </c>
      <c r="K26" s="21" t="s">
        <v>42</v>
      </c>
      <c r="L26" s="24" t="s">
        <v>43</v>
      </c>
      <c r="N26" s="21" t="s">
        <v>11</v>
      </c>
      <c r="O26" s="59" t="str">
        <f>B6</f>
        <v>FY 20</v>
      </c>
      <c r="P26" s="21" t="str">
        <f>C6</f>
        <v>FY 21</v>
      </c>
      <c r="Q26" s="24" t="str">
        <f>Q6</f>
        <v>% chg</v>
      </c>
      <c r="S26" s="59" t="str">
        <f>B6</f>
        <v>FY 20</v>
      </c>
      <c r="T26" s="21" t="str">
        <f>C6</f>
        <v>FY 21</v>
      </c>
      <c r="U26" s="24" t="str">
        <f>U6</f>
        <v>% chg</v>
      </c>
      <c r="V26" s="26"/>
      <c r="W26" s="25" t="str">
        <f>B6</f>
        <v>FY 20</v>
      </c>
      <c r="X26" s="21" t="str">
        <f>C6</f>
        <v>FY 21</v>
      </c>
      <c r="Y26" s="24" t="str">
        <f>Y6</f>
        <v>% chg</v>
      </c>
      <c r="Z26" s="20"/>
      <c r="AA26" s="20"/>
    </row>
    <row r="27" spans="1:27" x14ac:dyDescent="0.2">
      <c r="A27" s="27" t="s">
        <v>13</v>
      </c>
      <c r="B27" s="60">
        <v>0</v>
      </c>
      <c r="C27" s="60">
        <v>0</v>
      </c>
      <c r="D27" s="30" t="e">
        <f t="shared" ref="D27:D38" si="9">(C27-B27)/B27</f>
        <v>#DIV/0!</v>
      </c>
      <c r="F27" s="31">
        <v>28.512</v>
      </c>
      <c r="G27" s="31">
        <v>43.5</v>
      </c>
      <c r="H27" s="30">
        <f t="shared" ref="H27:H38" si="10">(G27-F27)/F27</f>
        <v>0.52567340067340063</v>
      </c>
      <c r="I27" s="44"/>
      <c r="J27" s="31">
        <v>0</v>
      </c>
      <c r="K27" s="31">
        <v>22560.574000000001</v>
      </c>
      <c r="L27" s="31">
        <v>11431.552</v>
      </c>
      <c r="N27" s="27" t="s">
        <v>13</v>
      </c>
      <c r="O27" s="11">
        <f>B27/0.26</f>
        <v>0</v>
      </c>
      <c r="P27" s="11">
        <f>C27/0.26</f>
        <v>0</v>
      </c>
      <c r="Q27" s="30" t="e">
        <f t="shared" ref="Q27:Q38" si="11">(P27-O27)/O27</f>
        <v>#DIV/0!</v>
      </c>
      <c r="S27" s="11">
        <f t="shared" ref="S27:T38" si="12">F27/0.013</f>
        <v>2193.2307692307695</v>
      </c>
      <c r="T27" s="11">
        <f t="shared" si="12"/>
        <v>3346.1538461538462</v>
      </c>
      <c r="U27" s="30">
        <f t="shared" ref="U27:U38" si="13">(T27-S27)/S27</f>
        <v>0.52567340067340051</v>
      </c>
      <c r="V27" s="30"/>
      <c r="W27" s="11">
        <f>(B69/0.24)+(F69/0.26)+(J69/0.23)</f>
        <v>2490.7868589743589</v>
      </c>
      <c r="X27" s="11">
        <f>(C69/0.24)+(G69/0.26)+(K69/0.23)</f>
        <v>4543.3205128205127</v>
      </c>
      <c r="Y27" s="30">
        <f t="shared" ref="Y27:Y38" si="14">(X27-W27)/W27</f>
        <v>0.8240502981822112</v>
      </c>
      <c r="Z27" s="20"/>
      <c r="AA27" s="20"/>
    </row>
    <row r="28" spans="1:27" x14ac:dyDescent="0.2">
      <c r="A28" s="27" t="s">
        <v>14</v>
      </c>
      <c r="B28" s="60">
        <v>0</v>
      </c>
      <c r="C28" s="60">
        <v>0</v>
      </c>
      <c r="D28" s="30" t="e">
        <f t="shared" si="9"/>
        <v>#DIV/0!</v>
      </c>
      <c r="F28" s="31">
        <v>26.074999999999999</v>
      </c>
      <c r="G28" s="31">
        <v>21.76</v>
      </c>
      <c r="H28" s="30">
        <f t="shared" si="10"/>
        <v>-0.16548418024928083</v>
      </c>
      <c r="I28" s="44"/>
      <c r="J28" s="31">
        <v>0</v>
      </c>
      <c r="K28" s="31">
        <v>26581.873</v>
      </c>
      <c r="L28" s="31">
        <v>13469.164000000001</v>
      </c>
      <c r="N28" s="27" t="s">
        <v>14</v>
      </c>
      <c r="O28" s="11">
        <f t="shared" ref="O28:P39" si="15">B28/0.26</f>
        <v>0</v>
      </c>
      <c r="P28" s="11">
        <f>C28/0.26</f>
        <v>0</v>
      </c>
      <c r="Q28" s="30" t="e">
        <f t="shared" si="11"/>
        <v>#DIV/0!</v>
      </c>
      <c r="S28" s="11">
        <f t="shared" si="12"/>
        <v>2005.7692307692307</v>
      </c>
      <c r="T28" s="11">
        <f t="shared" si="12"/>
        <v>1673.846153846154</v>
      </c>
      <c r="U28" s="30">
        <f t="shared" si="13"/>
        <v>-0.1654841802492808</v>
      </c>
      <c r="V28" s="30"/>
      <c r="W28" s="11">
        <f t="shared" ref="W28:X38" si="16">(B70/0.24)+(F70/0.26)+(J70/0.23)</f>
        <v>883.95352564102564</v>
      </c>
      <c r="X28" s="11">
        <f t="shared" si="16"/>
        <v>3135.4182692307691</v>
      </c>
      <c r="Y28" s="30">
        <f t="shared" si="14"/>
        <v>2.5470397235612872</v>
      </c>
      <c r="Z28" s="26"/>
      <c r="AA28" s="20"/>
    </row>
    <row r="29" spans="1:27" x14ac:dyDescent="0.2">
      <c r="A29" s="27" t="s">
        <v>15</v>
      </c>
      <c r="B29" s="60">
        <v>2610.9899999999998</v>
      </c>
      <c r="C29" s="60">
        <v>2255.02</v>
      </c>
      <c r="D29" s="30">
        <f t="shared" si="9"/>
        <v>-0.13633525980566752</v>
      </c>
      <c r="F29" s="31">
        <v>27.952000000000002</v>
      </c>
      <c r="G29" s="31">
        <v>27.227</v>
      </c>
      <c r="H29" s="30">
        <f t="shared" si="10"/>
        <v>-2.5937321121923346E-2</v>
      </c>
      <c r="I29" s="44"/>
      <c r="J29" s="31">
        <v>0</v>
      </c>
      <c r="K29" s="31">
        <v>24146.607</v>
      </c>
      <c r="L29" s="31">
        <v>12235.203</v>
      </c>
      <c r="N29" s="27" t="s">
        <v>15</v>
      </c>
      <c r="O29" s="11">
        <f t="shared" si="15"/>
        <v>10042.26923076923</v>
      </c>
      <c r="P29" s="11">
        <f t="shared" si="15"/>
        <v>8673.1538461538457</v>
      </c>
      <c r="Q29" s="30">
        <f t="shared" si="11"/>
        <v>-0.1363352598056676</v>
      </c>
      <c r="S29" s="11">
        <f t="shared" si="12"/>
        <v>2150.1538461538462</v>
      </c>
      <c r="T29" s="11">
        <f t="shared" si="12"/>
        <v>2094.3846153846157</v>
      </c>
      <c r="U29" s="30">
        <f t="shared" si="13"/>
        <v>-2.5937321121923165E-2</v>
      </c>
      <c r="V29" s="30"/>
      <c r="W29" s="11">
        <f>(B71/0.24)+(F71/0.26)+(J71/0.23)</f>
        <v>969.72019230769229</v>
      </c>
      <c r="X29" s="11">
        <f t="shared" si="16"/>
        <v>835.98910256410261</v>
      </c>
      <c r="Y29" s="30">
        <f t="shared" si="14"/>
        <v>-0.13790688366026804</v>
      </c>
      <c r="Z29" s="40"/>
      <c r="AA29" s="20"/>
    </row>
    <row r="30" spans="1:27" x14ac:dyDescent="0.2">
      <c r="A30" s="27" t="s">
        <v>16</v>
      </c>
      <c r="B30" s="60">
        <v>0</v>
      </c>
      <c r="C30" s="60">
        <v>0</v>
      </c>
      <c r="D30" s="30" t="e">
        <f t="shared" si="9"/>
        <v>#DIV/0!</v>
      </c>
      <c r="F30" s="31">
        <v>0</v>
      </c>
      <c r="G30" s="31">
        <v>23.571999999999999</v>
      </c>
      <c r="H30" s="30" t="e">
        <f t="shared" si="10"/>
        <v>#DIV/0!</v>
      </c>
      <c r="I30" s="44"/>
      <c r="J30" s="31">
        <v>0</v>
      </c>
      <c r="K30" s="31">
        <v>25203.118999999999</v>
      </c>
      <c r="L30" s="31">
        <v>12770.540999999999</v>
      </c>
      <c r="N30" s="27" t="s">
        <v>16</v>
      </c>
      <c r="O30" s="11">
        <f t="shared" si="15"/>
        <v>0</v>
      </c>
      <c r="P30" s="11">
        <f t="shared" si="15"/>
        <v>0</v>
      </c>
      <c r="Q30" s="30" t="e">
        <f t="shared" si="11"/>
        <v>#DIV/0!</v>
      </c>
      <c r="S30" s="11">
        <f t="shared" si="12"/>
        <v>0</v>
      </c>
      <c r="T30" s="11">
        <f t="shared" si="12"/>
        <v>1813.2307692307693</v>
      </c>
      <c r="U30" s="30" t="e">
        <f t="shared" si="13"/>
        <v>#DIV/0!</v>
      </c>
      <c r="V30" s="30"/>
      <c r="W30" s="11">
        <f>(B72/0.24)+(F72/0.26)+(J72/0.23)</f>
        <v>621.44519230769231</v>
      </c>
      <c r="X30" s="11">
        <f>(C72/0.24)+(G72/0.26)+(K72/0.23)</f>
        <v>4183.3314102564109</v>
      </c>
      <c r="Y30" s="30">
        <f t="shared" si="14"/>
        <v>5.7316176262011274</v>
      </c>
      <c r="Z30" s="40"/>
      <c r="AA30" s="20"/>
    </row>
    <row r="31" spans="1:27" x14ac:dyDescent="0.2">
      <c r="A31" s="27" t="s">
        <v>17</v>
      </c>
      <c r="B31" s="60">
        <v>0</v>
      </c>
      <c r="C31" s="60">
        <v>0</v>
      </c>
      <c r="D31" s="30" t="e">
        <f t="shared" si="9"/>
        <v>#DIV/0!</v>
      </c>
      <c r="F31" s="31">
        <v>53.548999999999999</v>
      </c>
      <c r="G31" s="31">
        <v>24.940999999999999</v>
      </c>
      <c r="H31" s="30">
        <f t="shared" si="10"/>
        <v>-0.53423966834114556</v>
      </c>
      <c r="I31" s="44"/>
      <c r="J31" s="31">
        <v>0</v>
      </c>
      <c r="K31" s="31">
        <v>23275.453000000001</v>
      </c>
      <c r="L31" s="31">
        <v>11793.786</v>
      </c>
      <c r="N31" s="27" t="s">
        <v>17</v>
      </c>
      <c r="O31" s="11">
        <f t="shared" si="15"/>
        <v>0</v>
      </c>
      <c r="P31" s="11">
        <f t="shared" si="15"/>
        <v>0</v>
      </c>
      <c r="Q31" s="30" t="e">
        <f t="shared" si="11"/>
        <v>#DIV/0!</v>
      </c>
      <c r="S31" s="11">
        <f t="shared" si="12"/>
        <v>4119.1538461538466</v>
      </c>
      <c r="T31" s="11">
        <f>G31/0.013</f>
        <v>1918.5384615384614</v>
      </c>
      <c r="U31" s="30">
        <f t="shared" si="13"/>
        <v>-0.53423966834114556</v>
      </c>
      <c r="V31" s="30"/>
      <c r="W31" s="11">
        <f>(B73/0.24)+(F73/0.26)+(J73/0.23)</f>
        <v>1167.3078595317725</v>
      </c>
      <c r="X31" s="11">
        <f>(C73/0.24)+(G73/0.26)+(K73/0.23)</f>
        <v>1167.738782051282</v>
      </c>
      <c r="Y31" s="30">
        <f t="shared" si="14"/>
        <v>3.6915927190139271E-4</v>
      </c>
      <c r="Z31" s="40"/>
      <c r="AA31" s="20"/>
    </row>
    <row r="32" spans="1:27" x14ac:dyDescent="0.2">
      <c r="A32" s="27" t="s">
        <v>18</v>
      </c>
      <c r="B32" s="60">
        <v>2414.9229999999998</v>
      </c>
      <c r="C32" s="60">
        <v>2212.9789999999998</v>
      </c>
      <c r="D32" s="30">
        <f t="shared" si="9"/>
        <v>-8.3623370186130155E-2</v>
      </c>
      <c r="F32" s="31">
        <v>24.196000000000002</v>
      </c>
      <c r="G32" s="31">
        <v>25.975000000000001</v>
      </c>
      <c r="H32" s="30">
        <f t="shared" si="10"/>
        <v>7.3524549512316073E-2</v>
      </c>
      <c r="I32" s="44"/>
      <c r="J32" s="31">
        <v>0</v>
      </c>
      <c r="K32" s="31">
        <v>27161.733</v>
      </c>
      <c r="L32" s="31">
        <v>13762.98</v>
      </c>
      <c r="N32" s="27" t="s">
        <v>18</v>
      </c>
      <c r="O32" s="11">
        <f t="shared" si="15"/>
        <v>9288.165384615384</v>
      </c>
      <c r="P32" s="11">
        <f t="shared" si="15"/>
        <v>8511.4576923076911</v>
      </c>
      <c r="Q32" s="30">
        <f t="shared" si="11"/>
        <v>-8.3623370186130225E-2</v>
      </c>
      <c r="S32" s="11">
        <f t="shared" si="12"/>
        <v>1861.2307692307695</v>
      </c>
      <c r="T32" s="11">
        <f t="shared" si="12"/>
        <v>1998.0769230769233</v>
      </c>
      <c r="U32" s="30">
        <f t="shared" si="13"/>
        <v>7.3524549512316059E-2</v>
      </c>
      <c r="V32" s="30"/>
      <c r="W32" s="11">
        <f>(B74/0.24)+(F74/0.26)+(J74/0.23)</f>
        <v>1193.4403846153846</v>
      </c>
      <c r="X32" s="11">
        <f>(C74/0.24)+(G74/0.26)+(K74/0.23)</f>
        <v>876.79647435897436</v>
      </c>
      <c r="Y32" s="30">
        <f t="shared" si="14"/>
        <v>-0.26532025758325289</v>
      </c>
      <c r="Z32" s="40"/>
      <c r="AA32" s="20"/>
    </row>
    <row r="33" spans="1:26" x14ac:dyDescent="0.2">
      <c r="A33" s="27" t="s">
        <v>19</v>
      </c>
      <c r="B33" s="60">
        <v>0</v>
      </c>
      <c r="C33" s="60">
        <v>0</v>
      </c>
      <c r="D33" s="30" t="e">
        <f t="shared" si="9"/>
        <v>#DIV/0!</v>
      </c>
      <c r="F33" s="31">
        <v>0</v>
      </c>
      <c r="G33" s="31">
        <v>22.946000000000002</v>
      </c>
      <c r="H33" s="30" t="e">
        <f t="shared" si="10"/>
        <v>#DIV/0!</v>
      </c>
      <c r="I33" s="44"/>
      <c r="J33" s="31">
        <v>0</v>
      </c>
      <c r="K33" s="31">
        <v>23674.105</v>
      </c>
      <c r="L33" s="31">
        <v>11995.784</v>
      </c>
      <c r="N33" s="27" t="s">
        <v>19</v>
      </c>
      <c r="O33" s="11">
        <f t="shared" si="15"/>
        <v>0</v>
      </c>
      <c r="P33" s="11">
        <f t="shared" si="15"/>
        <v>0</v>
      </c>
      <c r="Q33" s="30" t="e">
        <f t="shared" si="11"/>
        <v>#DIV/0!</v>
      </c>
      <c r="S33" s="11">
        <f t="shared" si="12"/>
        <v>0</v>
      </c>
      <c r="T33" s="11">
        <f t="shared" si="12"/>
        <v>1765.0769230769233</v>
      </c>
      <c r="U33" s="30" t="e">
        <f t="shared" si="13"/>
        <v>#DIV/0!</v>
      </c>
      <c r="V33" s="30"/>
      <c r="W33" s="11">
        <f t="shared" si="16"/>
        <v>930.58205128205122</v>
      </c>
      <c r="X33" s="11">
        <f>(C75/0.24)+(G75/0.26)+(K75/0.23)</f>
        <v>850.7314102564103</v>
      </c>
      <c r="Y33" s="30">
        <f t="shared" si="14"/>
        <v>-8.5807200897150007E-2</v>
      </c>
      <c r="Z33" s="11"/>
    </row>
    <row r="34" spans="1:26" x14ac:dyDescent="0.2">
      <c r="A34" s="27" t="s">
        <v>20</v>
      </c>
      <c r="B34" s="60">
        <v>0</v>
      </c>
      <c r="C34" s="60">
        <v>0</v>
      </c>
      <c r="D34" s="30" t="e">
        <f t="shared" si="9"/>
        <v>#DIV/0!</v>
      </c>
      <c r="F34" s="31">
        <v>0</v>
      </c>
      <c r="G34" s="31">
        <v>25.105</v>
      </c>
      <c r="H34" s="30" t="e">
        <f t="shared" si="10"/>
        <v>#DIV/0!</v>
      </c>
      <c r="I34" s="44"/>
      <c r="J34" s="31">
        <v>0</v>
      </c>
      <c r="K34" s="31">
        <v>20832.031999999999</v>
      </c>
      <c r="L34" s="31">
        <v>10555.691000000001</v>
      </c>
      <c r="N34" s="27" t="s">
        <v>20</v>
      </c>
      <c r="O34" s="11">
        <f t="shared" si="15"/>
        <v>0</v>
      </c>
      <c r="P34" s="11">
        <f t="shared" si="15"/>
        <v>0</v>
      </c>
      <c r="Q34" s="30" t="e">
        <f t="shared" si="11"/>
        <v>#DIV/0!</v>
      </c>
      <c r="S34" s="11">
        <f t="shared" si="12"/>
        <v>0</v>
      </c>
      <c r="T34" s="11">
        <f t="shared" si="12"/>
        <v>1931.1538461538462</v>
      </c>
      <c r="U34" s="30" t="e">
        <f t="shared" si="13"/>
        <v>#DIV/0!</v>
      </c>
      <c r="V34" s="30"/>
      <c r="W34" s="11">
        <f t="shared" si="16"/>
        <v>917.22051282051279</v>
      </c>
      <c r="X34" s="11">
        <f t="shared" si="16"/>
        <v>525.2208333333333</v>
      </c>
      <c r="Y34" s="30">
        <f t="shared" si="14"/>
        <v>-0.42737779411600263</v>
      </c>
      <c r="Z34" s="11"/>
    </row>
    <row r="35" spans="1:26" x14ac:dyDescent="0.2">
      <c r="A35" s="27" t="s">
        <v>21</v>
      </c>
      <c r="B35" s="60">
        <v>1992.9259999999999</v>
      </c>
      <c r="C35" s="60">
        <v>1076.2829999999999</v>
      </c>
      <c r="D35" s="30">
        <f t="shared" si="9"/>
        <v>-0.4599483372689202</v>
      </c>
      <c r="F35" s="31">
        <v>58.338999999999999</v>
      </c>
      <c r="G35" s="31">
        <v>18.181000000000001</v>
      </c>
      <c r="H35" s="30">
        <f t="shared" si="10"/>
        <v>-0.68835598827542466</v>
      </c>
      <c r="I35" s="44"/>
      <c r="J35" s="31">
        <v>0</v>
      </c>
      <c r="K35" s="31">
        <v>22596.341</v>
      </c>
      <c r="L35" s="31">
        <v>11449.674999999999</v>
      </c>
      <c r="N35" s="27" t="s">
        <v>21</v>
      </c>
      <c r="O35" s="11">
        <f t="shared" si="15"/>
        <v>7665.0999999999995</v>
      </c>
      <c r="P35" s="11">
        <f t="shared" si="15"/>
        <v>4139.5499999999993</v>
      </c>
      <c r="Q35" s="30">
        <f t="shared" si="11"/>
        <v>-0.4599483372689202</v>
      </c>
      <c r="S35" s="11">
        <f t="shared" si="12"/>
        <v>4487.6153846153848</v>
      </c>
      <c r="T35" s="11">
        <f t="shared" si="12"/>
        <v>1398.5384615384617</v>
      </c>
      <c r="U35" s="30">
        <f t="shared" si="13"/>
        <v>-0.68835598827542466</v>
      </c>
      <c r="V35" s="30"/>
      <c r="W35" s="11">
        <f t="shared" si="16"/>
        <v>1666.1240384615385</v>
      </c>
      <c r="X35" s="11">
        <f>(C77/0.24)+(G77/0.26)+(K77/0.23)</f>
        <v>1353.5038461538461</v>
      </c>
      <c r="Y35" s="30">
        <f t="shared" si="14"/>
        <v>-0.1876332044259795</v>
      </c>
      <c r="Z35" s="11"/>
    </row>
    <row r="36" spans="1:26" x14ac:dyDescent="0.2">
      <c r="A36" s="27" t="s">
        <v>22</v>
      </c>
      <c r="B36" s="60">
        <v>0</v>
      </c>
      <c r="C36" s="60">
        <v>0</v>
      </c>
      <c r="D36" s="30" t="e">
        <f t="shared" si="9"/>
        <v>#DIV/0!</v>
      </c>
      <c r="F36" s="31">
        <v>25.655999999999999</v>
      </c>
      <c r="G36" s="31">
        <v>28.202999999999999</v>
      </c>
      <c r="H36" s="30">
        <f t="shared" si="10"/>
        <v>9.9275023386342406E-2</v>
      </c>
      <c r="I36" s="44"/>
      <c r="J36" s="31">
        <v>0</v>
      </c>
      <c r="K36" s="31">
        <v>26763.562999999998</v>
      </c>
      <c r="L36" s="31">
        <v>13561.227000000001</v>
      </c>
      <c r="N36" s="27" t="s">
        <v>22</v>
      </c>
      <c r="O36" s="11">
        <f t="shared" si="15"/>
        <v>0</v>
      </c>
      <c r="P36" s="11">
        <f t="shared" si="15"/>
        <v>0</v>
      </c>
      <c r="Q36" s="30" t="e">
        <f t="shared" si="11"/>
        <v>#DIV/0!</v>
      </c>
      <c r="S36" s="11">
        <f t="shared" si="12"/>
        <v>1973.5384615384614</v>
      </c>
      <c r="T36" s="11">
        <f t="shared" si="12"/>
        <v>2169.4615384615386</v>
      </c>
      <c r="U36" s="30">
        <f t="shared" si="13"/>
        <v>9.927502338634249E-2</v>
      </c>
      <c r="V36" s="30"/>
      <c r="W36" s="11">
        <f t="shared" si="16"/>
        <v>503.94583333333327</v>
      </c>
      <c r="X36" s="11">
        <f>(C78/0.24)+(G78/0.26)+(K78/0.23)</f>
        <v>903.53910256410268</v>
      </c>
      <c r="Y36" s="30">
        <f t="shared" si="14"/>
        <v>0.7929290070475884</v>
      </c>
      <c r="Z36" s="11"/>
    </row>
    <row r="37" spans="1:26" x14ac:dyDescent="0.2">
      <c r="A37" s="27" t="s">
        <v>23</v>
      </c>
      <c r="B37" s="60">
        <v>0</v>
      </c>
      <c r="C37" s="60">
        <v>0</v>
      </c>
      <c r="D37" s="30" t="e">
        <f t="shared" si="9"/>
        <v>#DIV/0!</v>
      </c>
      <c r="F37" s="31">
        <v>21.483000000000001</v>
      </c>
      <c r="G37" s="31">
        <v>30.38</v>
      </c>
      <c r="H37" s="30">
        <f t="shared" si="10"/>
        <v>0.41414141414141403</v>
      </c>
      <c r="I37" s="44"/>
      <c r="J37" s="31">
        <v>0</v>
      </c>
      <c r="K37" s="31">
        <v>23942.419000000002</v>
      </c>
      <c r="L37" s="31">
        <v>12131.741</v>
      </c>
      <c r="N37" s="27" t="s">
        <v>23</v>
      </c>
      <c r="O37" s="11">
        <f t="shared" si="15"/>
        <v>0</v>
      </c>
      <c r="P37" s="11">
        <f t="shared" si="15"/>
        <v>0</v>
      </c>
      <c r="Q37" s="30" t="e">
        <f t="shared" si="11"/>
        <v>#DIV/0!</v>
      </c>
      <c r="S37" s="11">
        <f t="shared" si="12"/>
        <v>1652.5384615384617</v>
      </c>
      <c r="T37" s="11">
        <f t="shared" si="12"/>
        <v>2336.9230769230771</v>
      </c>
      <c r="U37" s="30">
        <f t="shared" si="13"/>
        <v>0.41414141414141414</v>
      </c>
      <c r="V37" s="30"/>
      <c r="W37" s="11">
        <f t="shared" si="16"/>
        <v>756.16121794871799</v>
      </c>
      <c r="X37" s="11">
        <f t="shared" si="16"/>
        <v>1116.1314102564102</v>
      </c>
      <c r="Y37" s="30">
        <f t="shared" si="14"/>
        <v>0.4760495298664007</v>
      </c>
      <c r="Z37" s="11"/>
    </row>
    <row r="38" spans="1:26" ht="12" customHeight="1" x14ac:dyDescent="0.2">
      <c r="A38" s="27" t="s">
        <v>24</v>
      </c>
      <c r="B38" s="61">
        <v>1922.867</v>
      </c>
      <c r="C38" s="61">
        <v>3958.0120000000002</v>
      </c>
      <c r="D38" s="35">
        <f t="shared" si="9"/>
        <v>1.0583909339543507</v>
      </c>
      <c r="F38" s="36">
        <v>0</v>
      </c>
      <c r="G38" s="36">
        <v>29.097999999999999</v>
      </c>
      <c r="H38" s="35" t="e">
        <f t="shared" si="10"/>
        <v>#DIV/0!</v>
      </c>
      <c r="I38" s="62"/>
      <c r="J38" s="36">
        <v>0</v>
      </c>
      <c r="K38" s="36">
        <v>28921.696</v>
      </c>
      <c r="L38" s="36">
        <v>14654.764999999999</v>
      </c>
      <c r="N38" s="63" t="s">
        <v>24</v>
      </c>
      <c r="O38" s="11">
        <f t="shared" si="15"/>
        <v>7395.6423076923074</v>
      </c>
      <c r="P38" s="11">
        <f t="shared" si="15"/>
        <v>15223.123076923077</v>
      </c>
      <c r="Q38" s="30">
        <f t="shared" si="11"/>
        <v>1.0583909339543505</v>
      </c>
      <c r="S38" s="37">
        <f t="shared" si="12"/>
        <v>0</v>
      </c>
      <c r="T38" s="37">
        <f t="shared" si="12"/>
        <v>2238.3076923076924</v>
      </c>
      <c r="U38" s="35" t="e">
        <f t="shared" si="13"/>
        <v>#DIV/0!</v>
      </c>
      <c r="V38" s="30"/>
      <c r="W38" s="11">
        <f t="shared" si="16"/>
        <v>552.96602564102568</v>
      </c>
      <c r="X38" s="11">
        <f>(C80/0.24)+(G80/0.26)+(K80/0.23)</f>
        <v>880.75416666666661</v>
      </c>
      <c r="Y38" s="35">
        <f t="shared" si="14"/>
        <v>0.5927817005496</v>
      </c>
      <c r="Z38" s="11"/>
    </row>
    <row r="39" spans="1:26" ht="15" customHeight="1" x14ac:dyDescent="0.2">
      <c r="A39" s="38"/>
      <c r="B39" s="40" t="s">
        <v>44</v>
      </c>
      <c r="C39" s="40"/>
      <c r="D39" s="30"/>
      <c r="F39" s="8" t="s">
        <v>45</v>
      </c>
      <c r="G39" s="8"/>
      <c r="H39" s="30"/>
      <c r="I39" s="62"/>
      <c r="J39" s="14" t="s">
        <v>46</v>
      </c>
      <c r="K39" s="14"/>
      <c r="L39" s="14"/>
      <c r="N39" s="27"/>
      <c r="O39" s="39" t="s">
        <v>44</v>
      </c>
      <c r="P39" s="39">
        <f t="shared" si="15"/>
        <v>0</v>
      </c>
      <c r="Q39" s="64"/>
      <c r="S39" s="44" t="s">
        <v>47</v>
      </c>
      <c r="T39" s="40"/>
      <c r="U39" s="30"/>
      <c r="V39" s="30"/>
      <c r="W39" s="39" t="s">
        <v>48</v>
      </c>
      <c r="X39" s="39"/>
      <c r="Y39" s="30"/>
      <c r="Z39" s="11"/>
    </row>
    <row r="40" spans="1:26" ht="15.75" customHeight="1" x14ac:dyDescent="0.2">
      <c r="A40" s="27" t="s">
        <v>29</v>
      </c>
      <c r="B40" s="43" t="str">
        <f>$B$20</f>
        <v>FY 20</v>
      </c>
      <c r="C40" s="43" t="str">
        <f>$C$20</f>
        <v>FY21</v>
      </c>
      <c r="D40" s="30" t="s">
        <v>33</v>
      </c>
      <c r="F40" s="43" t="str">
        <f>$B$20</f>
        <v>FY 20</v>
      </c>
      <c r="G40" s="43" t="str">
        <f>$C$20</f>
        <v>FY21</v>
      </c>
      <c r="H40" s="30" t="s">
        <v>33</v>
      </c>
      <c r="I40" s="62"/>
      <c r="J40" s="40" t="s">
        <v>49</v>
      </c>
      <c r="K40" s="40" t="s">
        <v>50</v>
      </c>
      <c r="L40" s="30" t="s">
        <v>51</v>
      </c>
      <c r="N40" s="40" t="s">
        <v>29</v>
      </c>
      <c r="O40" s="43" t="str">
        <f>$B$20</f>
        <v>FY 20</v>
      </c>
      <c r="P40" s="43" t="str">
        <f>$C$20</f>
        <v>FY21</v>
      </c>
      <c r="Q40" s="30" t="s">
        <v>52</v>
      </c>
      <c r="S40" s="43" t="str">
        <f>$B$20</f>
        <v>FY 20</v>
      </c>
      <c r="T40" s="43" t="str">
        <f>$C$20</f>
        <v>FY21</v>
      </c>
      <c r="U40" s="30" t="s">
        <v>53</v>
      </c>
      <c r="V40" s="30"/>
      <c r="W40" s="43" t="str">
        <f>$B$20</f>
        <v>FY 20</v>
      </c>
      <c r="X40" s="43" t="str">
        <f>$C$20</f>
        <v>FY21</v>
      </c>
      <c r="Y40" s="30" t="s">
        <v>53</v>
      </c>
      <c r="Z40" s="11"/>
    </row>
    <row r="41" spans="1:26" ht="14.25" customHeight="1" x14ac:dyDescent="0.2">
      <c r="A41" s="27" t="s">
        <v>32</v>
      </c>
      <c r="B41" s="65">
        <f>SUM(B27:B38)</f>
        <v>8941.7060000000001</v>
      </c>
      <c r="C41" s="65">
        <f>SUM(C27:C38)</f>
        <v>9502.2939999999999</v>
      </c>
      <c r="D41" s="48">
        <f>(C41-B41)/B41</f>
        <v>6.269362915756789E-2</v>
      </c>
      <c r="F41" s="65">
        <f>SUM(F27:F38)</f>
        <v>265.762</v>
      </c>
      <c r="G41" s="97">
        <f>SUM(G27:G37)</f>
        <v>291.78999999999996</v>
      </c>
      <c r="H41" s="48">
        <f>(G41-F41)/F41</f>
        <v>9.7937252127843571E-2</v>
      </c>
      <c r="I41" s="44"/>
      <c r="J41" s="14">
        <f>SUM(J27:J38)</f>
        <v>0</v>
      </c>
      <c r="K41" s="14">
        <f>SUM(K27:K38)</f>
        <v>295659.51500000007</v>
      </c>
      <c r="L41" s="14">
        <f>SUM(L27:L38)</f>
        <v>149812.109</v>
      </c>
      <c r="N41" s="2" t="str">
        <f>N21</f>
        <v>FYTD</v>
      </c>
      <c r="O41" s="45">
        <f>SUM(O27:O38)</f>
        <v>34391.176923076921</v>
      </c>
      <c r="P41" s="11">
        <f>SUM(P27:P38)</f>
        <v>36547.284615384611</v>
      </c>
      <c r="Q41" s="30">
        <f>(P41-O41)/O41</f>
        <v>6.2693629157567876E-2</v>
      </c>
      <c r="S41" s="45">
        <f>SUM(S27:S38)</f>
        <v>20443.230769230766</v>
      </c>
      <c r="T41" s="11">
        <f>SUM(T27:T38)</f>
        <v>24683.692307692309</v>
      </c>
      <c r="U41" s="30">
        <f>(T41-S41)/S41</f>
        <v>0.20742619336097737</v>
      </c>
      <c r="V41" s="30"/>
      <c r="W41" s="11">
        <f>SUM(W27:W38)</f>
        <v>12653.653692865106</v>
      </c>
      <c r="X41" s="11">
        <f>(C83/0.24)+(G83/0.26)+(K83/0.23)</f>
        <v>20372.475320512825</v>
      </c>
      <c r="Y41" s="30">
        <f>(X41-W41)/W41</f>
        <v>0.6100073397772896</v>
      </c>
      <c r="Z41" s="11"/>
    </row>
    <row r="42" spans="1:26" x14ac:dyDescent="0.2">
      <c r="A42" s="27" t="str">
        <f>A22</f>
        <v>% total</v>
      </c>
      <c r="B42" s="30">
        <f>B41/B43</f>
        <v>1</v>
      </c>
      <c r="C42" s="48">
        <f>C41/C43</f>
        <v>1</v>
      </c>
      <c r="D42" s="66" t="s">
        <v>36</v>
      </c>
      <c r="F42" s="48">
        <f>F41/F43</f>
        <v>1</v>
      </c>
      <c r="G42" s="48">
        <f>G41/G43</f>
        <v>0.90932038592904685</v>
      </c>
      <c r="H42" s="48" t="s">
        <v>36</v>
      </c>
      <c r="J42" s="30" t="e">
        <f>J41/J43</f>
        <v>#DIV/0!</v>
      </c>
      <c r="K42" s="30">
        <f>K41/K43</f>
        <v>1</v>
      </c>
      <c r="L42" s="30">
        <f>L41/L43</f>
        <v>1</v>
      </c>
      <c r="N42" s="2" t="str">
        <f>N22</f>
        <v>% total</v>
      </c>
      <c r="O42" s="30">
        <f>O41/O43</f>
        <v>1</v>
      </c>
      <c r="P42" s="30">
        <f>P41/P43</f>
        <v>1</v>
      </c>
      <c r="Q42" s="47" t="s">
        <v>36</v>
      </c>
      <c r="S42" s="30">
        <f>S41/S43</f>
        <v>1</v>
      </c>
      <c r="T42" s="30">
        <f>T41/T43</f>
        <v>1</v>
      </c>
      <c r="U42" s="47" t="s">
        <v>36</v>
      </c>
      <c r="W42" s="30">
        <f>W41/W43</f>
        <v>1</v>
      </c>
      <c r="X42" s="30">
        <f>X41/X43</f>
        <v>1</v>
      </c>
      <c r="Y42" s="48" t="s">
        <v>36</v>
      </c>
      <c r="Z42" s="40"/>
    </row>
    <row r="43" spans="1:26" x14ac:dyDescent="0.2">
      <c r="A43" s="27" t="str">
        <f>A23</f>
        <v>FYTotal</v>
      </c>
      <c r="B43" s="65">
        <f>SUM(B27:B38)</f>
        <v>8941.7060000000001</v>
      </c>
      <c r="C43" s="65">
        <f>SUM(C27:C38)</f>
        <v>9502.2939999999999</v>
      </c>
      <c r="D43" s="48">
        <f>(C43-B43)/B43</f>
        <v>6.269362915756789E-2</v>
      </c>
      <c r="F43" s="65">
        <f>SUM(F27:F38)</f>
        <v>265.762</v>
      </c>
      <c r="G43" s="65">
        <f>SUM(G27:G38)</f>
        <v>320.88799999999998</v>
      </c>
      <c r="H43" s="48">
        <f>(G43-F43)/F43</f>
        <v>0.20742619336097703</v>
      </c>
      <c r="I43" s="44"/>
      <c r="J43" s="14">
        <f>SUM(J27:J38)</f>
        <v>0</v>
      </c>
      <c r="K43" s="14">
        <f>SUM(K27:K38)</f>
        <v>295659.51500000007</v>
      </c>
      <c r="L43" s="8">
        <f>L41</f>
        <v>149812.109</v>
      </c>
      <c r="N43" s="2" t="str">
        <f>N23</f>
        <v>FYTotal</v>
      </c>
      <c r="O43" s="11">
        <f>SUM(O27:O38)</f>
        <v>34391.176923076921</v>
      </c>
      <c r="P43" s="11">
        <f>SUM(P27:P38)</f>
        <v>36547.284615384611</v>
      </c>
      <c r="Q43" s="30">
        <f>(P43-O43)/O43</f>
        <v>6.2693629157567876E-2</v>
      </c>
      <c r="S43" s="11">
        <f>SUM(S27:S38)</f>
        <v>20443.230769230766</v>
      </c>
      <c r="T43" s="11">
        <f>SUM(T27:T38)</f>
        <v>24683.692307692309</v>
      </c>
      <c r="U43" s="30">
        <f>(T43-S43)/S43</f>
        <v>0.20742619336097737</v>
      </c>
      <c r="V43" s="30"/>
      <c r="W43" s="11">
        <f>SUM(W27:W38)</f>
        <v>12653.653692865106</v>
      </c>
      <c r="X43" s="11">
        <f>(C85/0.24)+(G85/0.26)+(K85/0.23)</f>
        <v>20372.475320512825</v>
      </c>
      <c r="Y43" s="30">
        <f>(X43-W43)/W43</f>
        <v>0.6100073397772896</v>
      </c>
      <c r="Z43" s="11"/>
    </row>
    <row r="44" spans="1:26" x14ac:dyDescent="0.2">
      <c r="A44" s="27"/>
      <c r="B44" s="11"/>
      <c r="C44" s="49"/>
      <c r="D44" s="13"/>
      <c r="E44" s="13"/>
      <c r="F44" s="13"/>
      <c r="G44" s="49"/>
      <c r="H44" s="13"/>
      <c r="I44" s="13"/>
      <c r="J44" s="13"/>
      <c r="K44" s="67" t="s">
        <v>54</v>
      </c>
      <c r="L44" s="68"/>
      <c r="N44" s="27"/>
      <c r="O44" s="69"/>
      <c r="P44" s="11"/>
      <c r="S44" s="32"/>
      <c r="T44" s="70"/>
      <c r="V44" s="30"/>
      <c r="W44" s="69"/>
      <c r="X44" s="11"/>
      <c r="Y44" s="11"/>
      <c r="Z44" s="30"/>
    </row>
    <row r="45" spans="1:26" x14ac:dyDescent="0.2">
      <c r="B45" s="54"/>
      <c r="C45" s="16" t="s">
        <v>55</v>
      </c>
      <c r="D45" s="17"/>
      <c r="F45" s="54"/>
      <c r="G45" s="16" t="s">
        <v>56</v>
      </c>
      <c r="H45" s="17"/>
      <c r="J45" s="54"/>
      <c r="K45" s="16" t="s">
        <v>57</v>
      </c>
      <c r="L45" s="17"/>
      <c r="W45" s="20"/>
      <c r="X45" s="20"/>
      <c r="Y45" s="20"/>
      <c r="Z45" s="11"/>
    </row>
    <row r="46" spans="1:26" x14ac:dyDescent="0.2">
      <c r="A46" s="21" t="s">
        <v>11</v>
      </c>
      <c r="B46" s="25" t="str">
        <f>B6</f>
        <v>FY 20</v>
      </c>
      <c r="C46" s="21" t="str">
        <f>C6</f>
        <v>FY 21</v>
      </c>
      <c r="D46" s="24" t="str">
        <f>D26</f>
        <v>% chg</v>
      </c>
      <c r="F46" s="25" t="str">
        <f>B6</f>
        <v>FY 20</v>
      </c>
      <c r="G46" s="21" t="str">
        <f>C6</f>
        <v>FY 21</v>
      </c>
      <c r="H46" s="24" t="str">
        <f>H26</f>
        <v>% chg</v>
      </c>
      <c r="J46" s="25" t="str">
        <f>B6</f>
        <v>FY 20</v>
      </c>
      <c r="K46" s="21" t="str">
        <f>C6</f>
        <v>FY 21</v>
      </c>
      <c r="L46" s="24" t="str">
        <f>L6</f>
        <v>% chg</v>
      </c>
      <c r="W46" s="20"/>
      <c r="X46" s="20"/>
      <c r="Y46" s="20"/>
    </row>
    <row r="47" spans="1:26" x14ac:dyDescent="0.2">
      <c r="A47" s="27" t="s">
        <v>13</v>
      </c>
      <c r="B47" s="31">
        <v>41785.300999999999</v>
      </c>
      <c r="C47" s="31">
        <v>35114.059000000001</v>
      </c>
      <c r="D47" s="30">
        <f t="shared" ref="D47:D58" si="17">(C47-B47)/B47</f>
        <v>-0.15965523378663704</v>
      </c>
      <c r="F47" s="31">
        <v>631.60699999999997</v>
      </c>
      <c r="G47" s="31">
        <v>1121.932</v>
      </c>
      <c r="H47" s="30">
        <f t="shared" ref="H47:H58" si="18">(G47-F47)/F47</f>
        <v>0.77631343541157727</v>
      </c>
      <c r="J47" s="31">
        <f t="shared" ref="J47:K58" si="19">B47-F47</f>
        <v>41153.694000000003</v>
      </c>
      <c r="K47" s="31">
        <f>C47-G47</f>
        <v>33992.127</v>
      </c>
      <c r="L47" s="30">
        <f t="shared" ref="L47:L58" si="20">(K47-J47)/J47</f>
        <v>-0.1740200284329276</v>
      </c>
      <c r="N47" s="2" t="s">
        <v>58</v>
      </c>
    </row>
    <row r="48" spans="1:26" x14ac:dyDescent="0.2">
      <c r="A48" s="27" t="s">
        <v>14</v>
      </c>
      <c r="B48" s="31">
        <v>41087.957999999999</v>
      </c>
      <c r="C48" s="31">
        <v>40822.682999999997</v>
      </c>
      <c r="D48" s="30">
        <f t="shared" si="17"/>
        <v>-6.456271202380061E-3</v>
      </c>
      <c r="F48" s="31">
        <v>228.203</v>
      </c>
      <c r="G48" s="31">
        <v>771.64499999999998</v>
      </c>
      <c r="H48" s="30">
        <f t="shared" si="18"/>
        <v>2.3813972647160644</v>
      </c>
      <c r="J48" s="31">
        <f t="shared" si="19"/>
        <v>40859.754999999997</v>
      </c>
      <c r="K48" s="31">
        <f t="shared" si="19"/>
        <v>40051.038</v>
      </c>
      <c r="L48" s="30">
        <f t="shared" si="20"/>
        <v>-1.9792507321690914E-2</v>
      </c>
      <c r="N48" s="2" t="s">
        <v>59</v>
      </c>
    </row>
    <row r="49" spans="1:30" x14ac:dyDescent="0.2">
      <c r="A49" s="27" t="s">
        <v>15</v>
      </c>
      <c r="B49" s="31">
        <v>41936.139000000003</v>
      </c>
      <c r="C49" s="31">
        <v>36598.597000000002</v>
      </c>
      <c r="D49" s="30">
        <f t="shared" si="17"/>
        <v>-0.12727785931842703</v>
      </c>
      <c r="F49" s="31">
        <v>247.54499999999999</v>
      </c>
      <c r="G49" s="31">
        <v>216.78800000000001</v>
      </c>
      <c r="H49" s="30">
        <f t="shared" si="18"/>
        <v>-0.12424811650406987</v>
      </c>
      <c r="J49" s="31">
        <f t="shared" si="19"/>
        <v>41688.594000000005</v>
      </c>
      <c r="K49" s="31">
        <f t="shared" si="19"/>
        <v>36381.809000000001</v>
      </c>
      <c r="L49" s="30">
        <f t="shared" si="20"/>
        <v>-0.1272958497952702</v>
      </c>
      <c r="N49" s="2" t="s">
        <v>60</v>
      </c>
      <c r="P49" s="20"/>
      <c r="U49" s="20"/>
    </row>
    <row r="50" spans="1:30" x14ac:dyDescent="0.2">
      <c r="A50" s="27" t="s">
        <v>16</v>
      </c>
      <c r="B50" s="31">
        <v>38233.955000000002</v>
      </c>
      <c r="C50" s="31">
        <v>38995.974000000002</v>
      </c>
      <c r="D50" s="30">
        <f t="shared" si="17"/>
        <v>1.9930425717140699E-2</v>
      </c>
      <c r="F50" s="31">
        <v>160.18799999999999</v>
      </c>
      <c r="G50" s="31">
        <v>1022.314</v>
      </c>
      <c r="H50" s="30">
        <f t="shared" si="18"/>
        <v>5.3819636926611238</v>
      </c>
      <c r="J50" s="31">
        <f>B50-F50</f>
        <v>38073.767</v>
      </c>
      <c r="K50" s="31">
        <f>C50-G50</f>
        <v>37973.660000000003</v>
      </c>
      <c r="L50" s="30">
        <f t="shared" si="20"/>
        <v>-2.629290660942384E-3</v>
      </c>
      <c r="N50" s="2" t="s">
        <v>61</v>
      </c>
      <c r="P50" s="20"/>
      <c r="R50" s="20"/>
      <c r="U50" s="71"/>
    </row>
    <row r="51" spans="1:30" x14ac:dyDescent="0.2">
      <c r="A51" s="27" t="s">
        <v>17</v>
      </c>
      <c r="B51" s="31">
        <v>36465.915999999997</v>
      </c>
      <c r="C51" s="31">
        <v>35370.947</v>
      </c>
      <c r="D51" s="30">
        <f t="shared" si="17"/>
        <v>-3.0027190322052994E-2</v>
      </c>
      <c r="F51" s="31">
        <v>295.60599999999999</v>
      </c>
      <c r="G51" s="31">
        <v>301.70800000000003</v>
      </c>
      <c r="H51" s="30">
        <f t="shared" si="18"/>
        <v>2.0642341495098315E-2</v>
      </c>
      <c r="J51" s="31">
        <f t="shared" si="19"/>
        <v>36170.31</v>
      </c>
      <c r="K51" s="31">
        <f t="shared" si="19"/>
        <v>35069.239000000001</v>
      </c>
      <c r="L51" s="30">
        <f t="shared" si="20"/>
        <v>-3.0441292872524353E-2</v>
      </c>
      <c r="N51" s="2" t="s">
        <v>62</v>
      </c>
    </row>
    <row r="52" spans="1:30" x14ac:dyDescent="0.2">
      <c r="A52" s="27" t="s">
        <v>18</v>
      </c>
      <c r="B52" s="31">
        <v>44825.701000000001</v>
      </c>
      <c r="C52" s="31">
        <v>41141.436000000002</v>
      </c>
      <c r="D52" s="30">
        <f t="shared" si="17"/>
        <v>-8.2190906506961245E-2</v>
      </c>
      <c r="F52" s="31">
        <v>300.04399999999998</v>
      </c>
      <c r="G52" s="31">
        <v>216.72399999999999</v>
      </c>
      <c r="H52" s="30">
        <f t="shared" si="18"/>
        <v>-0.2776926050845876</v>
      </c>
      <c r="J52" s="31">
        <f>B52-F52</f>
        <v>44525.656999999999</v>
      </c>
      <c r="K52" s="31">
        <f>C52-G52</f>
        <v>40924.712</v>
      </c>
      <c r="L52" s="30">
        <f t="shared" si="20"/>
        <v>-8.087348379834125E-2</v>
      </c>
      <c r="N52" s="2" t="s">
        <v>63</v>
      </c>
    </row>
    <row r="53" spans="1:30" x14ac:dyDescent="0.2">
      <c r="A53" s="27" t="s">
        <v>19</v>
      </c>
      <c r="B53" s="31">
        <v>35839.328999999998</v>
      </c>
      <c r="C53" s="31">
        <v>35888.042999999998</v>
      </c>
      <c r="D53" s="30">
        <f t="shared" si="17"/>
        <v>1.3592330369801271E-3</v>
      </c>
      <c r="F53" s="31">
        <v>239.042</v>
      </c>
      <c r="G53" s="31">
        <v>218.154</v>
      </c>
      <c r="H53" s="30">
        <f t="shared" si="18"/>
        <v>-8.7382133683620467E-2</v>
      </c>
      <c r="J53" s="31">
        <f t="shared" si="19"/>
        <v>35600.286999999997</v>
      </c>
      <c r="K53" s="31">
        <f t="shared" si="19"/>
        <v>35669.888999999996</v>
      </c>
      <c r="L53" s="30">
        <f t="shared" si="20"/>
        <v>1.9550965979571724E-3</v>
      </c>
      <c r="N53" s="2" t="s">
        <v>64</v>
      </c>
      <c r="O53" s="20"/>
      <c r="P53" s="20"/>
      <c r="R53" s="20"/>
      <c r="U53" s="20"/>
    </row>
    <row r="54" spans="1:30" x14ac:dyDescent="0.2">
      <c r="A54" s="27" t="s">
        <v>20</v>
      </c>
      <c r="B54" s="31">
        <v>37580.981</v>
      </c>
      <c r="C54" s="31">
        <v>31522.178</v>
      </c>
      <c r="D54" s="30">
        <f t="shared" si="17"/>
        <v>-0.1612199266432135</v>
      </c>
      <c r="F54" s="31">
        <v>236.19200000000001</v>
      </c>
      <c r="G54" s="31">
        <v>134.45400000000001</v>
      </c>
      <c r="H54" s="30">
        <f t="shared" si="18"/>
        <v>-0.43074278553041589</v>
      </c>
      <c r="J54" s="31">
        <f t="shared" si="19"/>
        <v>37344.788999999997</v>
      </c>
      <c r="K54" s="31">
        <f>C54-G54</f>
        <v>31387.723999999998</v>
      </c>
      <c r="L54" s="30">
        <f t="shared" si="20"/>
        <v>-0.1595152940882863</v>
      </c>
      <c r="N54" s="2" t="s">
        <v>65</v>
      </c>
      <c r="P54" s="20"/>
      <c r="R54" s="20"/>
      <c r="U54" s="20"/>
      <c r="AD54" s="44"/>
    </row>
    <row r="55" spans="1:30" x14ac:dyDescent="0.2">
      <c r="A55" s="27" t="s">
        <v>21</v>
      </c>
      <c r="B55" s="31">
        <v>40181.921000000002</v>
      </c>
      <c r="C55" s="31">
        <v>34393.243999999999</v>
      </c>
      <c r="D55" s="30">
        <f t="shared" si="17"/>
        <v>-0.14406172865652697</v>
      </c>
      <c r="F55" s="31">
        <v>413.14600000000002</v>
      </c>
      <c r="G55" s="31">
        <v>347.22800000000001</v>
      </c>
      <c r="H55" s="30">
        <f t="shared" si="18"/>
        <v>-0.15955134504509302</v>
      </c>
      <c r="J55" s="31">
        <f t="shared" si="19"/>
        <v>39768.775000000001</v>
      </c>
      <c r="K55" s="31">
        <f t="shared" si="19"/>
        <v>34046.015999999996</v>
      </c>
      <c r="L55" s="30">
        <f t="shared" si="20"/>
        <v>-0.14390081162922433</v>
      </c>
      <c r="N55" s="27" t="s">
        <v>66</v>
      </c>
    </row>
    <row r="56" spans="1:30" x14ac:dyDescent="0.2">
      <c r="A56" s="27" t="s">
        <v>22</v>
      </c>
      <c r="B56" s="31">
        <v>34331.639000000003</v>
      </c>
      <c r="C56" s="31">
        <v>40557.504999999997</v>
      </c>
      <c r="D56" s="30">
        <f t="shared" si="17"/>
        <v>0.18134485219304544</v>
      </c>
      <c r="F56" s="31">
        <v>129.98099999999999</v>
      </c>
      <c r="G56" s="31">
        <v>232.714</v>
      </c>
      <c r="H56" s="30">
        <f t="shared" si="18"/>
        <v>0.7903693616759373</v>
      </c>
      <c r="J56" s="31">
        <f t="shared" si="19"/>
        <v>34201.658000000003</v>
      </c>
      <c r="K56" s="31">
        <f t="shared" si="19"/>
        <v>40324.790999999997</v>
      </c>
      <c r="L56" s="30">
        <f t="shared" si="20"/>
        <v>0.17903029730313055</v>
      </c>
      <c r="P56" s="20"/>
      <c r="R56" s="20"/>
      <c r="U56" s="20"/>
    </row>
    <row r="57" spans="1:30" x14ac:dyDescent="0.2">
      <c r="A57" s="27" t="s">
        <v>23</v>
      </c>
      <c r="B57" s="31">
        <v>31310.451000000001</v>
      </c>
      <c r="C57" s="31">
        <v>36361.574000000001</v>
      </c>
      <c r="D57" s="30">
        <f t="shared" si="17"/>
        <v>0.16132386595133999</v>
      </c>
      <c r="F57" s="31">
        <v>193.83099999999999</v>
      </c>
      <c r="G57" s="31">
        <v>287.41399999999999</v>
      </c>
      <c r="H57" s="30">
        <f t="shared" si="18"/>
        <v>0.48280718770475312</v>
      </c>
      <c r="J57" s="31">
        <f t="shared" si="19"/>
        <v>31116.620000000003</v>
      </c>
      <c r="K57" s="31">
        <f t="shared" si="19"/>
        <v>36074.160000000003</v>
      </c>
      <c r="L57" s="30">
        <f t="shared" si="20"/>
        <v>0.15932128875179891</v>
      </c>
      <c r="N57" s="72"/>
      <c r="O57" s="20"/>
      <c r="P57" s="26"/>
      <c r="T57" s="26"/>
      <c r="U57" s="3"/>
    </row>
    <row r="58" spans="1:30" ht="12" customHeight="1" x14ac:dyDescent="0.2">
      <c r="A58" s="27" t="s">
        <v>24</v>
      </c>
      <c r="B58" s="36">
        <v>33751.156000000003</v>
      </c>
      <c r="C58" s="36">
        <v>43804.129000000001</v>
      </c>
      <c r="D58" s="35">
        <f t="shared" si="17"/>
        <v>0.29785566455857088</v>
      </c>
      <c r="F58" s="36">
        <v>140.351</v>
      </c>
      <c r="G58" s="36">
        <v>227.66900000000001</v>
      </c>
      <c r="H58" s="35">
        <f t="shared" si="18"/>
        <v>0.6221402056273202</v>
      </c>
      <c r="J58" s="36">
        <f t="shared" si="19"/>
        <v>33610.805</v>
      </c>
      <c r="K58" s="36">
        <f t="shared" si="19"/>
        <v>43576.46</v>
      </c>
      <c r="L58" s="35">
        <f t="shared" si="20"/>
        <v>0.29650152681555825</v>
      </c>
      <c r="N58" s="20"/>
      <c r="O58" s="20"/>
      <c r="P58" s="20"/>
      <c r="Q58" s="20"/>
      <c r="S58" s="3"/>
      <c r="T58" s="3"/>
      <c r="U58" s="3"/>
    </row>
    <row r="59" spans="1:30" ht="15" customHeight="1" x14ac:dyDescent="0.2">
      <c r="A59" s="38"/>
      <c r="B59" s="8" t="s">
        <v>67</v>
      </c>
      <c r="C59" s="8"/>
      <c r="D59" s="30"/>
      <c r="F59" s="73"/>
      <c r="G59" s="42" t="s">
        <v>48</v>
      </c>
      <c r="H59" s="30"/>
      <c r="J59" s="14" t="s">
        <v>68</v>
      </c>
      <c r="K59" s="8"/>
      <c r="L59" s="30"/>
      <c r="N59" s="20"/>
      <c r="O59" s="74"/>
      <c r="P59" s="75"/>
      <c r="Q59" s="75"/>
      <c r="S59" s="75"/>
      <c r="T59" s="76"/>
      <c r="U59" s="77"/>
    </row>
    <row r="60" spans="1:30" ht="15.75" customHeight="1" x14ac:dyDescent="0.2">
      <c r="A60" s="27" t="s">
        <v>29</v>
      </c>
      <c r="B60" s="43" t="str">
        <f>$B$20</f>
        <v>FY 20</v>
      </c>
      <c r="C60" s="43" t="str">
        <f>$C$20</f>
        <v>FY21</v>
      </c>
      <c r="D60" s="30" t="s">
        <v>30</v>
      </c>
      <c r="F60" s="43" t="str">
        <f>$B$20</f>
        <v>FY 20</v>
      </c>
      <c r="G60" s="43" t="str">
        <f>$C$20</f>
        <v>FY21</v>
      </c>
      <c r="H60" s="30" t="s">
        <v>30</v>
      </c>
      <c r="J60" s="43" t="str">
        <f>$B$20</f>
        <v>FY 20</v>
      </c>
      <c r="K60" s="43" t="str">
        <f>$C$20</f>
        <v>FY21</v>
      </c>
      <c r="L60" s="30" t="s">
        <v>30</v>
      </c>
      <c r="N60" s="20"/>
      <c r="O60" s="74"/>
      <c r="P60" s="75"/>
      <c r="Q60" s="75"/>
      <c r="S60" s="75"/>
      <c r="T60" s="76"/>
      <c r="U60" s="77"/>
    </row>
    <row r="61" spans="1:30" ht="12" customHeight="1" x14ac:dyDescent="0.2">
      <c r="A61" s="27" t="s">
        <v>32</v>
      </c>
      <c r="B61" s="93">
        <f>SUM(B47:B58)</f>
        <v>457330.44700000004</v>
      </c>
      <c r="C61" s="93">
        <f>SUM(C47:C58)</f>
        <v>450570.36900000006</v>
      </c>
      <c r="D61" s="94">
        <f>(C61-B61)/B61</f>
        <v>-1.4781604951834705E-2</v>
      </c>
      <c r="E61" s="95"/>
      <c r="F61" s="93">
        <f>SUM(F47:F58)</f>
        <v>3215.7360000000003</v>
      </c>
      <c r="G61" s="93">
        <f>SUM(G47:G58)</f>
        <v>5098.7439999999997</v>
      </c>
      <c r="H61" s="94">
        <f>(G61-F61)/F61</f>
        <v>0.58556050621070854</v>
      </c>
      <c r="I61" s="95"/>
      <c r="J61" s="93">
        <f>SUM(J47:J58)</f>
        <v>454114.71100000001</v>
      </c>
      <c r="K61" s="93">
        <f>SUM(K47:K58)</f>
        <v>445471.62500000006</v>
      </c>
      <c r="L61" s="94">
        <f>(K61-J61)/J61</f>
        <v>-1.9032825386711492E-2</v>
      </c>
      <c r="N61" s="20"/>
      <c r="O61" s="78"/>
      <c r="P61" s="78"/>
      <c r="Q61" s="78"/>
      <c r="R61" s="79"/>
      <c r="S61" s="78"/>
      <c r="T61" s="78"/>
      <c r="U61" s="78"/>
    </row>
    <row r="62" spans="1:30" x14ac:dyDescent="0.2">
      <c r="A62" s="27" t="str">
        <f>A42</f>
        <v>% total</v>
      </c>
      <c r="B62" s="30">
        <f>B61/B63</f>
        <v>1</v>
      </c>
      <c r="C62" s="30">
        <f>C61/C63</f>
        <v>1</v>
      </c>
      <c r="D62" s="48" t="s">
        <v>36</v>
      </c>
      <c r="F62" s="30">
        <f>F61/F63</f>
        <v>1</v>
      </c>
      <c r="G62" s="30">
        <f>G61/G63</f>
        <v>1</v>
      </c>
      <c r="H62" s="48" t="s">
        <v>36</v>
      </c>
      <c r="J62" s="30">
        <f>J61/J63</f>
        <v>1</v>
      </c>
      <c r="K62" s="30">
        <f>K61/K63</f>
        <v>1</v>
      </c>
      <c r="L62" s="48" t="s">
        <v>36</v>
      </c>
      <c r="N62" s="80"/>
      <c r="O62" s="8"/>
      <c r="P62" s="73"/>
      <c r="Q62" s="73"/>
      <c r="R62" s="14"/>
      <c r="S62" s="14"/>
      <c r="T62" s="76"/>
      <c r="U62" s="43"/>
    </row>
    <row r="63" spans="1:30" x14ac:dyDescent="0.2">
      <c r="A63" s="27" t="str">
        <f>A43</f>
        <v>FYTotal</v>
      </c>
      <c r="B63" s="14">
        <f>SUM(B47:B58)</f>
        <v>457330.44700000004</v>
      </c>
      <c r="C63" s="14">
        <f>SUM(C47:C58)</f>
        <v>450570.36900000006</v>
      </c>
      <c r="D63" s="30">
        <f>(C63-B63)/B63</f>
        <v>-1.4781604951834705E-2</v>
      </c>
      <c r="F63" s="14">
        <f>SUM(F47:F58)</f>
        <v>3215.7360000000003</v>
      </c>
      <c r="G63" s="14">
        <f>SUM(G47:G58)</f>
        <v>5098.7439999999997</v>
      </c>
      <c r="H63" s="30">
        <f>(G63-F63)/F63</f>
        <v>0.58556050621070854</v>
      </c>
      <c r="J63" s="14">
        <f>SUM(J47:J58)</f>
        <v>454114.71100000001</v>
      </c>
      <c r="K63" s="14">
        <f>+C61-G61</f>
        <v>445471.62500000006</v>
      </c>
      <c r="L63" s="30">
        <f>(K63-J63)/J63</f>
        <v>-1.9032825386711492E-2</v>
      </c>
      <c r="N63" s="80"/>
      <c r="O63" s="14"/>
      <c r="P63" s="14"/>
      <c r="Q63" s="14"/>
      <c r="R63" s="14"/>
      <c r="S63" s="14"/>
      <c r="T63" s="76"/>
      <c r="U63" s="13"/>
    </row>
    <row r="64" spans="1:30" x14ac:dyDescent="0.2">
      <c r="A64" s="27"/>
      <c r="B64" s="51"/>
      <c r="C64" s="29"/>
      <c r="D64" s="30"/>
      <c r="F64" s="51"/>
      <c r="G64" s="29"/>
      <c r="H64" s="30"/>
      <c r="J64" s="51"/>
      <c r="K64" s="29"/>
      <c r="L64" s="81"/>
      <c r="N64" s="20"/>
      <c r="Y64" s="47"/>
    </row>
    <row r="65" spans="1:26" x14ac:dyDescent="0.2">
      <c r="A65" s="27"/>
      <c r="B65" s="82"/>
      <c r="C65" s="82"/>
      <c r="D65" s="50"/>
      <c r="E65" s="47"/>
      <c r="F65" s="82"/>
      <c r="G65" s="48"/>
      <c r="H65" s="50"/>
      <c r="L65" s="58"/>
      <c r="Z65" s="50"/>
    </row>
    <row r="66" spans="1:26" x14ac:dyDescent="0.2">
      <c r="C66" s="44"/>
      <c r="D66" s="44"/>
      <c r="E66" s="44"/>
      <c r="F66" s="44"/>
      <c r="H66" s="44"/>
      <c r="I66" s="44"/>
      <c r="L66" s="14" t="s">
        <v>3</v>
      </c>
      <c r="R66" s="44"/>
      <c r="Y66" s="47"/>
      <c r="Z66" s="50"/>
    </row>
    <row r="67" spans="1:26" x14ac:dyDescent="0.2">
      <c r="A67" s="83"/>
      <c r="B67" s="54"/>
      <c r="C67" s="16" t="s">
        <v>69</v>
      </c>
      <c r="D67" s="84"/>
      <c r="E67" s="85"/>
      <c r="F67" s="54"/>
      <c r="G67" s="16" t="s">
        <v>70</v>
      </c>
      <c r="H67" s="17"/>
      <c r="I67" s="86"/>
      <c r="J67" s="54"/>
      <c r="K67" s="19" t="s">
        <v>71</v>
      </c>
      <c r="L67" s="17"/>
    </row>
    <row r="68" spans="1:26" x14ac:dyDescent="0.2">
      <c r="A68" s="87" t="s">
        <v>11</v>
      </c>
      <c r="B68" s="25" t="str">
        <f>F46</f>
        <v>FY 20</v>
      </c>
      <c r="C68" s="21" t="str">
        <f>G46</f>
        <v>FY 21</v>
      </c>
      <c r="D68" s="24" t="s">
        <v>12</v>
      </c>
      <c r="E68" s="3"/>
      <c r="F68" s="25" t="str">
        <f>B68</f>
        <v>FY 20</v>
      </c>
      <c r="G68" s="21" t="str">
        <f>C68</f>
        <v>FY 21</v>
      </c>
      <c r="H68" s="24" t="str">
        <f>D68</f>
        <v>% chg</v>
      </c>
      <c r="J68" s="59" t="str">
        <f>F68</f>
        <v>FY 20</v>
      </c>
      <c r="K68" s="21" t="str">
        <f>G68</f>
        <v>FY 21</v>
      </c>
      <c r="L68" s="24" t="str">
        <f>D68</f>
        <v>% chg</v>
      </c>
    </row>
    <row r="69" spans="1:26" x14ac:dyDescent="0.2">
      <c r="A69" s="2" t="s">
        <v>13</v>
      </c>
      <c r="B69" s="89">
        <v>191.971</v>
      </c>
      <c r="C69" s="89">
        <v>711.96400000000006</v>
      </c>
      <c r="D69" s="30">
        <f t="shared" ref="D69:D80" si="21">(C69-B69)/B69</f>
        <v>2.708706002469123</v>
      </c>
      <c r="E69" s="47"/>
      <c r="F69" s="89">
        <v>439.63600000000002</v>
      </c>
      <c r="G69" s="89">
        <v>409.96899999999999</v>
      </c>
      <c r="H69" s="30">
        <f>(G69-F69)/F69</f>
        <v>-6.7480825046174628E-2</v>
      </c>
      <c r="I69" s="47"/>
      <c r="J69" s="31">
        <v>0</v>
      </c>
      <c r="K69" s="31">
        <v>0</v>
      </c>
      <c r="L69" s="30" t="e">
        <f t="shared" ref="L69:L80" si="22">(K69-J69)/J69</f>
        <v>#DIV/0!</v>
      </c>
      <c r="O69" s="88"/>
    </row>
    <row r="70" spans="1:26" x14ac:dyDescent="0.2">
      <c r="A70" s="27" t="s">
        <v>14</v>
      </c>
      <c r="B70" s="89">
        <v>19.510999999999999</v>
      </c>
      <c r="C70" s="89">
        <v>522.76499999999999</v>
      </c>
      <c r="D70" s="30">
        <f t="shared" si="21"/>
        <v>25.793347342524729</v>
      </c>
      <c r="E70" s="30"/>
      <c r="F70" s="89">
        <v>208.691</v>
      </c>
      <c r="G70" s="89">
        <v>248.88</v>
      </c>
      <c r="H70" s="30">
        <f t="shared" ref="H70:H80" si="23">(G70-F70)/F70</f>
        <v>0.19257658451969656</v>
      </c>
      <c r="J70" s="31">
        <v>0</v>
      </c>
      <c r="K70" s="31">
        <v>0</v>
      </c>
      <c r="L70" s="30" t="e">
        <f t="shared" si="22"/>
        <v>#DIV/0!</v>
      </c>
      <c r="O70" s="89"/>
    </row>
    <row r="71" spans="1:26" x14ac:dyDescent="0.2">
      <c r="A71" s="27" t="s">
        <v>15</v>
      </c>
      <c r="B71" s="31">
        <v>58.575000000000003</v>
      </c>
      <c r="C71" s="31">
        <v>6.83</v>
      </c>
      <c r="D71" s="30">
        <f t="shared" si="21"/>
        <v>-0.88339735381988904</v>
      </c>
      <c r="E71" s="30"/>
      <c r="F71" s="89">
        <v>188.67099999999999</v>
      </c>
      <c r="G71" s="89">
        <v>209.958</v>
      </c>
      <c r="H71" s="30">
        <f>(G71-F71)/F71</f>
        <v>0.11282603049753277</v>
      </c>
      <c r="J71" s="31">
        <v>0</v>
      </c>
      <c r="K71" s="31">
        <v>0</v>
      </c>
      <c r="L71" s="30" t="e">
        <f t="shared" si="22"/>
        <v>#DIV/0!</v>
      </c>
    </row>
    <row r="72" spans="1:26" x14ac:dyDescent="0.2">
      <c r="A72" s="27" t="s">
        <v>16</v>
      </c>
      <c r="B72" s="31">
        <v>16.652999999999999</v>
      </c>
      <c r="C72" s="31">
        <v>784.226</v>
      </c>
      <c r="D72" s="30">
        <f>(C72-B72)/B72</f>
        <v>46.092175583978864</v>
      </c>
      <c r="E72" s="30"/>
      <c r="F72" s="89">
        <v>143.535</v>
      </c>
      <c r="G72" s="89">
        <v>238.08799999999999</v>
      </c>
      <c r="H72" s="30">
        <f>(G72-F72)/F72</f>
        <v>0.65874525377085724</v>
      </c>
      <c r="J72" s="31">
        <v>0</v>
      </c>
      <c r="K72" s="31">
        <v>0</v>
      </c>
      <c r="L72" s="30" t="e">
        <f t="shared" si="22"/>
        <v>#DIV/0!</v>
      </c>
    </row>
    <row r="73" spans="1:26" x14ac:dyDescent="0.2">
      <c r="A73" s="27" t="s">
        <v>17</v>
      </c>
      <c r="B73" s="31">
        <v>93.683999999999997</v>
      </c>
      <c r="C73" s="31">
        <v>22.849</v>
      </c>
      <c r="D73" s="30">
        <f>(C73-B73)/B73</f>
        <v>-0.75610563169804867</v>
      </c>
      <c r="E73" s="30"/>
      <c r="F73" s="89">
        <v>201.922</v>
      </c>
      <c r="G73" s="89">
        <v>278.85899999999998</v>
      </c>
      <c r="H73" s="30">
        <f>(G73-F73)/F73</f>
        <v>0.38102336545794901</v>
      </c>
      <c r="J73" s="31">
        <v>7.6999999999999999E-2</v>
      </c>
      <c r="K73" s="31">
        <v>0</v>
      </c>
      <c r="L73" s="30">
        <f t="shared" si="22"/>
        <v>-1</v>
      </c>
    </row>
    <row r="74" spans="1:26" x14ac:dyDescent="0.2">
      <c r="A74" s="27" t="s">
        <v>18</v>
      </c>
      <c r="B74" s="31">
        <v>122.994</v>
      </c>
      <c r="C74" s="31">
        <v>134.929</v>
      </c>
      <c r="D74" s="30">
        <f>(C74-B74)/B74</f>
        <v>9.7037253849781305E-2</v>
      </c>
      <c r="E74" s="30"/>
      <c r="F74" s="89">
        <v>177.05099999999999</v>
      </c>
      <c r="G74" s="89">
        <v>81.793999999999997</v>
      </c>
      <c r="H74" s="30">
        <f t="shared" si="23"/>
        <v>-0.53802011849693021</v>
      </c>
      <c r="J74" s="31">
        <v>0</v>
      </c>
      <c r="K74" s="31">
        <v>0</v>
      </c>
      <c r="L74" s="30" t="e">
        <f t="shared" si="22"/>
        <v>#DIV/0!</v>
      </c>
    </row>
    <row r="75" spans="1:26" x14ac:dyDescent="0.2">
      <c r="A75" s="27" t="s">
        <v>19</v>
      </c>
      <c r="B75" s="31">
        <v>34.911999999999999</v>
      </c>
      <c r="C75" s="31">
        <v>36.433999999999997</v>
      </c>
      <c r="D75" s="30">
        <f t="shared" si="21"/>
        <v>4.3595325389550826E-2</v>
      </c>
      <c r="E75" s="30"/>
      <c r="F75" s="89">
        <v>204.13</v>
      </c>
      <c r="G75" s="89">
        <v>181.72</v>
      </c>
      <c r="H75" s="30">
        <f t="shared" si="23"/>
        <v>-0.10978298143340028</v>
      </c>
      <c r="J75" s="31">
        <v>0</v>
      </c>
      <c r="K75" s="31">
        <v>0</v>
      </c>
      <c r="L75" s="30" t="e">
        <f t="shared" si="22"/>
        <v>#DIV/0!</v>
      </c>
    </row>
    <row r="76" spans="1:26" x14ac:dyDescent="0.2">
      <c r="A76" s="27" t="s">
        <v>20</v>
      </c>
      <c r="B76" s="31">
        <v>27.423999999999999</v>
      </c>
      <c r="C76" s="31">
        <v>26.321000000000002</v>
      </c>
      <c r="D76" s="30">
        <f t="shared" si="21"/>
        <v>-4.0220245040840069E-2</v>
      </c>
      <c r="E76" s="30"/>
      <c r="F76" s="89">
        <v>208.768</v>
      </c>
      <c r="G76" s="89">
        <v>108.04300000000001</v>
      </c>
      <c r="H76" s="30">
        <f t="shared" si="23"/>
        <v>-0.48247336756591047</v>
      </c>
      <c r="J76" s="31">
        <v>0</v>
      </c>
      <c r="K76" s="31">
        <v>0</v>
      </c>
      <c r="L76" s="30" t="e">
        <f t="shared" si="22"/>
        <v>#DIV/0!</v>
      </c>
    </row>
    <row r="77" spans="1:26" x14ac:dyDescent="0.2">
      <c r="A77" s="27" t="s">
        <v>21</v>
      </c>
      <c r="B77" s="31">
        <v>240.55500000000001</v>
      </c>
      <c r="C77" s="31">
        <v>56.244</v>
      </c>
      <c r="D77" s="30">
        <f t="shared" si="21"/>
        <v>-0.76619068404315027</v>
      </c>
      <c r="E77" s="30"/>
      <c r="F77" s="89">
        <v>172.59100000000001</v>
      </c>
      <c r="G77" s="89">
        <v>290.98</v>
      </c>
      <c r="H77" s="30">
        <f t="shared" si="23"/>
        <v>0.68595117937783545</v>
      </c>
      <c r="J77" s="31">
        <v>0</v>
      </c>
      <c r="K77" s="31">
        <v>0</v>
      </c>
      <c r="L77" s="30" t="e">
        <f t="shared" si="22"/>
        <v>#DIV/0!</v>
      </c>
    </row>
    <row r="78" spans="1:26" x14ac:dyDescent="0.2">
      <c r="A78" s="27" t="s">
        <v>22</v>
      </c>
      <c r="B78" s="31">
        <v>12.539</v>
      </c>
      <c r="C78" s="31">
        <v>26.474</v>
      </c>
      <c r="D78" s="30">
        <f t="shared" si="21"/>
        <v>1.111332642156472</v>
      </c>
      <c r="E78" s="30"/>
      <c r="F78" s="89">
        <v>117.44199999999999</v>
      </c>
      <c r="G78" s="89">
        <v>206.24</v>
      </c>
      <c r="H78" s="30">
        <f t="shared" si="23"/>
        <v>0.7561008838405342</v>
      </c>
      <c r="J78" s="31">
        <v>0</v>
      </c>
      <c r="K78" s="31">
        <v>0</v>
      </c>
      <c r="L78" s="30" t="e">
        <f t="shared" si="22"/>
        <v>#DIV/0!</v>
      </c>
    </row>
    <row r="79" spans="1:26" x14ac:dyDescent="0.2">
      <c r="A79" s="27" t="s">
        <v>72</v>
      </c>
      <c r="B79" s="31">
        <v>33.250999999999998</v>
      </c>
      <c r="C79" s="31">
        <v>33.362000000000002</v>
      </c>
      <c r="D79" s="30">
        <f t="shared" si="21"/>
        <v>3.3382454663018922E-3</v>
      </c>
      <c r="E79" s="30"/>
      <c r="F79" s="89">
        <v>160.58000000000001</v>
      </c>
      <c r="G79" s="89">
        <v>254.05199999999999</v>
      </c>
      <c r="H79" s="30">
        <f t="shared" si="23"/>
        <v>0.58208992402540771</v>
      </c>
      <c r="J79" s="31">
        <v>0</v>
      </c>
      <c r="K79" s="31">
        <v>0</v>
      </c>
      <c r="L79" s="30" t="e">
        <f t="shared" si="22"/>
        <v>#DIV/0!</v>
      </c>
    </row>
    <row r="80" spans="1:26" x14ac:dyDescent="0.2">
      <c r="A80" s="27" t="s">
        <v>24</v>
      </c>
      <c r="B80" s="36">
        <v>41.03</v>
      </c>
      <c r="C80" s="36">
        <v>15.925000000000001</v>
      </c>
      <c r="D80" s="35">
        <f t="shared" si="21"/>
        <v>-0.61186936388008772</v>
      </c>
      <c r="F80" s="90">
        <v>99.322000000000003</v>
      </c>
      <c r="G80" s="90">
        <v>211.744</v>
      </c>
      <c r="H80" s="35">
        <f t="shared" si="23"/>
        <v>1.1318942429673184</v>
      </c>
      <c r="J80" s="36">
        <v>0</v>
      </c>
      <c r="K80" s="36">
        <v>0</v>
      </c>
      <c r="L80" s="35" t="e">
        <f t="shared" si="22"/>
        <v>#DIV/0!</v>
      </c>
    </row>
    <row r="81" spans="1:12" x14ac:dyDescent="0.2">
      <c r="A81" s="38" t="s">
        <v>73</v>
      </c>
      <c r="B81" s="8"/>
      <c r="C81" s="8"/>
      <c r="D81" s="30"/>
      <c r="F81" s="8" t="s">
        <v>74</v>
      </c>
      <c r="G81" s="8"/>
      <c r="H81" s="30"/>
      <c r="J81" s="8" t="s">
        <v>75</v>
      </c>
      <c r="K81" s="8"/>
      <c r="L81" s="30"/>
    </row>
    <row r="82" spans="1:12" ht="13.5" customHeight="1" x14ac:dyDescent="0.2">
      <c r="A82" s="2" t="s">
        <v>29</v>
      </c>
      <c r="B82" s="43" t="str">
        <f>$B$20</f>
        <v>FY 20</v>
      </c>
      <c r="C82" s="43" t="str">
        <f>$C$20</f>
        <v>FY21</v>
      </c>
      <c r="D82" s="30" t="s">
        <v>33</v>
      </c>
      <c r="F82" s="43" t="str">
        <f>$B$20</f>
        <v>FY 20</v>
      </c>
      <c r="G82" s="43" t="str">
        <f>$C$20</f>
        <v>FY21</v>
      </c>
      <c r="H82" s="30" t="s">
        <v>33</v>
      </c>
      <c r="J82" s="43" t="str">
        <f>$B$20</f>
        <v>FY 20</v>
      </c>
      <c r="K82" s="43" t="str">
        <f>$C$20</f>
        <v>FY21</v>
      </c>
      <c r="L82" s="30" t="s">
        <v>33</v>
      </c>
    </row>
    <row r="83" spans="1:12" x14ac:dyDescent="0.2">
      <c r="A83" s="27" t="s">
        <v>32</v>
      </c>
      <c r="B83" s="14">
        <f>SUM(B69:B80)</f>
        <v>893.09899999999993</v>
      </c>
      <c r="C83" s="96">
        <f>SUM(C69:C80)</f>
        <v>2378.3230000000008</v>
      </c>
      <c r="D83" s="30">
        <f>(C83-B83)/B83</f>
        <v>1.663000406449902</v>
      </c>
      <c r="E83" s="44"/>
      <c r="F83" s="14">
        <f>SUM(F69:F80)</f>
        <v>2322.3389999999999</v>
      </c>
      <c r="G83" s="14">
        <f>SUM(G69:G80)</f>
        <v>2720.3270000000002</v>
      </c>
      <c r="H83" s="30">
        <f>(G83-F83)/F83</f>
        <v>0.17137377445756211</v>
      </c>
      <c r="J83" s="14">
        <f>SUM(J69:J80)</f>
        <v>7.6999999999999999E-2</v>
      </c>
      <c r="K83" s="14">
        <f>SUM(K70:K80)</f>
        <v>0</v>
      </c>
      <c r="L83" s="30">
        <f>(K83-J83)/J83</f>
        <v>-1</v>
      </c>
    </row>
    <row r="84" spans="1:12" x14ac:dyDescent="0.2">
      <c r="A84" s="27" t="s">
        <v>35</v>
      </c>
      <c r="B84" s="30">
        <f>B83/B85</f>
        <v>1</v>
      </c>
      <c r="C84" s="30">
        <f>C83/C85</f>
        <v>1</v>
      </c>
      <c r="D84" s="46" t="s">
        <v>36</v>
      </c>
      <c r="F84" s="30">
        <f>F83/F85</f>
        <v>1</v>
      </c>
      <c r="G84" s="30">
        <f>G83/G85</f>
        <v>1</v>
      </c>
      <c r="H84" s="46" t="s">
        <v>36</v>
      </c>
      <c r="J84" s="30">
        <f>J83/J85</f>
        <v>1</v>
      </c>
      <c r="K84" s="30" t="e">
        <f>K83/K85</f>
        <v>#DIV/0!</v>
      </c>
      <c r="L84" s="3" t="s">
        <v>36</v>
      </c>
    </row>
    <row r="85" spans="1:12" x14ac:dyDescent="0.2">
      <c r="A85" s="27" t="s">
        <v>37</v>
      </c>
      <c r="B85" s="14">
        <f>SUM(B69:B80)</f>
        <v>893.09899999999993</v>
      </c>
      <c r="C85" s="14">
        <f>SUM(C69:C80)</f>
        <v>2378.3230000000008</v>
      </c>
      <c r="D85" s="30">
        <f>(C85-B85)/B85</f>
        <v>1.663000406449902</v>
      </c>
      <c r="E85" s="44"/>
      <c r="F85" s="14">
        <f>SUM(F69:F80)</f>
        <v>2322.3389999999999</v>
      </c>
      <c r="G85" s="14">
        <f>SUM(G69:G80)</f>
        <v>2720.3270000000002</v>
      </c>
      <c r="H85" s="30">
        <f>(G85-F85)/F85</f>
        <v>0.17137377445756211</v>
      </c>
      <c r="I85" s="44"/>
      <c r="J85" s="14">
        <f>SUM(J69:J80)</f>
        <v>7.6999999999999999E-2</v>
      </c>
      <c r="K85" s="14">
        <f>SUM(K69:K80)</f>
        <v>0</v>
      </c>
      <c r="L85" s="30">
        <f>(K85-J85)/J85</f>
        <v>-1</v>
      </c>
    </row>
    <row r="87" spans="1:12" x14ac:dyDescent="0.2">
      <c r="A87" s="2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Kansas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 Wakana [KDOR]</dc:creator>
  <cp:lastModifiedBy>Kegan O'Connor [KDOR]</cp:lastModifiedBy>
  <dcterms:created xsi:type="dcterms:W3CDTF">2019-10-01T12:49:36Z</dcterms:created>
  <dcterms:modified xsi:type="dcterms:W3CDTF">2021-07-20T13:27:55Z</dcterms:modified>
</cp:coreProperties>
</file>