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ate1904="1" defaultThemeVersion="124226"/>
  <mc:AlternateContent xmlns:mc="http://schemas.openxmlformats.org/markup-compatibility/2006">
    <mc:Choice Requires="x15">
      <x15ac:absPath xmlns:x15ac="http://schemas.microsoft.com/office/spreadsheetml/2010/11/ac" url="\\pandrfs\Policy and Research\TOSHI DUTIES\Reporting Duties\Motor Fuel Activity Reports\7a Motor Fuel Activity\"/>
    </mc:Choice>
  </mc:AlternateContent>
  <bookViews>
    <workbookView xWindow="690" yWindow="345" windowWidth="12510" windowHeight="12570" tabRatio="601"/>
  </bookViews>
  <sheets>
    <sheet name="Activity Report FY18-19" sheetId="1" r:id="rId1"/>
  </sheets>
  <definedNames>
    <definedName name="page1">'Activity Report FY18-19'!$A$1:$L$65</definedName>
    <definedName name="page2">'Activity Report FY18-19'!$N$1:$Y$65</definedName>
    <definedName name="_xlnm.Print_Area" localSheetId="0">'Activity Report FY18-19'!$A$1:$Y$65</definedName>
  </definedNames>
  <calcPr calcId="152511"/>
</workbook>
</file>

<file path=xl/calcChain.xml><?xml version="1.0" encoding="utf-8"?>
<calcChain xmlns="http://schemas.openxmlformats.org/spreadsheetml/2006/main">
  <c r="J84" i="1" l="1"/>
  <c r="F84" i="1"/>
  <c r="B84" i="1"/>
  <c r="J62" i="1"/>
  <c r="F62" i="1"/>
  <c r="B62" i="1"/>
  <c r="W42" i="1"/>
  <c r="S42" i="1"/>
  <c r="O42" i="1"/>
  <c r="J42" i="1"/>
  <c r="F42" i="1"/>
  <c r="B42" i="1"/>
  <c r="W21" i="1"/>
  <c r="S21" i="1"/>
  <c r="O21" i="1"/>
  <c r="K21" i="1"/>
  <c r="J21" i="1"/>
  <c r="F21" i="1"/>
  <c r="B21" i="1"/>
  <c r="K84" i="1" l="1"/>
  <c r="X42" i="1" s="1"/>
  <c r="G84" i="1"/>
  <c r="C84" i="1"/>
  <c r="K62" i="1"/>
  <c r="G62" i="1"/>
  <c r="C62" i="1"/>
  <c r="K42" i="1"/>
  <c r="G42" i="1"/>
  <c r="C42" i="1"/>
  <c r="G21" i="1"/>
  <c r="C21" i="1"/>
  <c r="L42" i="1" l="1"/>
  <c r="K44" i="1" l="1"/>
  <c r="K25" i="1"/>
  <c r="X38" i="1" l="1"/>
  <c r="T40" i="1" l="1"/>
  <c r="W11" i="1" l="1"/>
  <c r="P28" i="1" l="1"/>
  <c r="H42" i="1"/>
  <c r="D21" i="1"/>
  <c r="D74" i="1"/>
  <c r="D75" i="1"/>
  <c r="D18" i="1"/>
  <c r="D17" i="1"/>
  <c r="D16" i="1"/>
  <c r="D15" i="1"/>
  <c r="D14" i="1"/>
  <c r="D13" i="1"/>
  <c r="D12" i="1"/>
  <c r="D11" i="1"/>
  <c r="D10" i="1"/>
  <c r="D9" i="1"/>
  <c r="D8" i="1"/>
  <c r="D7" i="1"/>
  <c r="H21" i="1"/>
  <c r="C23" i="1"/>
  <c r="B23" i="1"/>
  <c r="B22" i="1" s="1"/>
  <c r="F23" i="1"/>
  <c r="F22" i="1" s="1"/>
  <c r="X35" i="1"/>
  <c r="P29" i="1"/>
  <c r="P30" i="1"/>
  <c r="P31" i="1"/>
  <c r="P32" i="1"/>
  <c r="P33" i="1"/>
  <c r="P34" i="1"/>
  <c r="P35" i="1"/>
  <c r="Q35" i="1" s="1"/>
  <c r="P36" i="1"/>
  <c r="P37" i="1"/>
  <c r="P38" i="1"/>
  <c r="P42" i="1" s="1"/>
  <c r="P27" i="1"/>
  <c r="O28" i="1"/>
  <c r="O29" i="1"/>
  <c r="O30" i="1"/>
  <c r="O31" i="1"/>
  <c r="O32" i="1"/>
  <c r="O33" i="1"/>
  <c r="O34" i="1"/>
  <c r="O35" i="1"/>
  <c r="O36" i="1"/>
  <c r="Q36" i="1" s="1"/>
  <c r="O37" i="1"/>
  <c r="O38" i="1"/>
  <c r="O27" i="1"/>
  <c r="W27" i="1"/>
  <c r="P8" i="1"/>
  <c r="P9" i="1"/>
  <c r="P10" i="1"/>
  <c r="P11" i="1"/>
  <c r="P12" i="1"/>
  <c r="P13" i="1"/>
  <c r="P14" i="1"/>
  <c r="Q14" i="1" s="1"/>
  <c r="P15" i="1"/>
  <c r="P16" i="1"/>
  <c r="P21" i="1" s="1"/>
  <c r="P17" i="1"/>
  <c r="P18" i="1"/>
  <c r="P7" i="1"/>
  <c r="O8" i="1"/>
  <c r="O9" i="1"/>
  <c r="Q9" i="1" s="1"/>
  <c r="O10" i="1"/>
  <c r="O11" i="1"/>
  <c r="O12" i="1"/>
  <c r="O13" i="1"/>
  <c r="O14" i="1"/>
  <c r="O15" i="1"/>
  <c r="O16" i="1"/>
  <c r="O17" i="1"/>
  <c r="O18" i="1"/>
  <c r="O7" i="1"/>
  <c r="O23" i="1"/>
  <c r="K61" i="1"/>
  <c r="L44" i="1"/>
  <c r="L43" i="1" s="1"/>
  <c r="K55" i="1"/>
  <c r="W30" i="1"/>
  <c r="X30" i="1"/>
  <c r="W29" i="1"/>
  <c r="K49" i="1"/>
  <c r="H28" i="1"/>
  <c r="L70" i="1"/>
  <c r="X27" i="1"/>
  <c r="K48" i="1"/>
  <c r="H8" i="1"/>
  <c r="H9" i="1"/>
  <c r="H10" i="1"/>
  <c r="H11" i="1"/>
  <c r="H12" i="1"/>
  <c r="H13" i="1"/>
  <c r="H14" i="1"/>
  <c r="H15" i="1"/>
  <c r="H16" i="1"/>
  <c r="H17" i="1"/>
  <c r="H18" i="1"/>
  <c r="L8" i="1"/>
  <c r="L9" i="1"/>
  <c r="L10" i="1"/>
  <c r="L11" i="1"/>
  <c r="L12" i="1"/>
  <c r="L13" i="1"/>
  <c r="L14" i="1"/>
  <c r="L15" i="1"/>
  <c r="L16" i="1"/>
  <c r="L17" i="1"/>
  <c r="L18" i="1"/>
  <c r="W38" i="1"/>
  <c r="W37" i="1"/>
  <c r="W36" i="1"/>
  <c r="W35" i="1"/>
  <c r="W34" i="1"/>
  <c r="W33" i="1"/>
  <c r="W32" i="1"/>
  <c r="W31" i="1"/>
  <c r="W28" i="1"/>
  <c r="J59" i="1"/>
  <c r="J58" i="1"/>
  <c r="J57" i="1"/>
  <c r="J56" i="1"/>
  <c r="J55" i="1"/>
  <c r="J54" i="1"/>
  <c r="J53" i="1"/>
  <c r="J52" i="1"/>
  <c r="J51" i="1"/>
  <c r="K51" i="1"/>
  <c r="J50" i="1"/>
  <c r="J49" i="1"/>
  <c r="J48" i="1"/>
  <c r="S7" i="1"/>
  <c r="S8" i="1"/>
  <c r="S9" i="1"/>
  <c r="S10" i="1"/>
  <c r="S23" i="1" s="1"/>
  <c r="S11" i="1"/>
  <c r="S12" i="1"/>
  <c r="S13" i="1"/>
  <c r="S14" i="1"/>
  <c r="S15" i="1"/>
  <c r="S16" i="1"/>
  <c r="S17" i="1"/>
  <c r="S18" i="1"/>
  <c r="X7" i="1"/>
  <c r="Y7" i="1" s="1"/>
  <c r="W7" i="1"/>
  <c r="K83" i="1"/>
  <c r="J83" i="1"/>
  <c r="G83" i="1"/>
  <c r="F83" i="1"/>
  <c r="C83" i="1"/>
  <c r="B83" i="1"/>
  <c r="J61" i="1"/>
  <c r="G61" i="1"/>
  <c r="F61" i="1"/>
  <c r="C61" i="1"/>
  <c r="B61" i="1"/>
  <c r="X40" i="1"/>
  <c r="W40" i="1"/>
  <c r="S40" i="1"/>
  <c r="P40" i="1"/>
  <c r="O40" i="1"/>
  <c r="G40" i="1"/>
  <c r="F40" i="1"/>
  <c r="C40" i="1"/>
  <c r="B40" i="1"/>
  <c r="P20" i="1"/>
  <c r="O20" i="1"/>
  <c r="X20" i="1"/>
  <c r="W20" i="1"/>
  <c r="T20" i="1"/>
  <c r="S20" i="1"/>
  <c r="G20" i="1"/>
  <c r="K20" i="1"/>
  <c r="F6" i="1"/>
  <c r="J6" i="1" s="1"/>
  <c r="F20" i="1"/>
  <c r="J20" i="1" s="1"/>
  <c r="J44" i="1"/>
  <c r="J43" i="1" s="1"/>
  <c r="F44" i="1"/>
  <c r="F43" i="1" s="1"/>
  <c r="G44" i="1"/>
  <c r="K53" i="1"/>
  <c r="B64" i="1"/>
  <c r="B63" i="1" s="1"/>
  <c r="X32" i="1"/>
  <c r="Y32" i="1" s="1"/>
  <c r="X31" i="1"/>
  <c r="T31" i="1"/>
  <c r="H74" i="1"/>
  <c r="H73" i="1"/>
  <c r="D73" i="1"/>
  <c r="H72" i="1"/>
  <c r="D42" i="1"/>
  <c r="L21" i="1"/>
  <c r="X37" i="1"/>
  <c r="X36" i="1"/>
  <c r="X34" i="1"/>
  <c r="X33" i="1"/>
  <c r="Y33" i="1" s="1"/>
  <c r="X29" i="1"/>
  <c r="X28" i="1"/>
  <c r="K86" i="1"/>
  <c r="J86" i="1"/>
  <c r="J85" i="1" s="1"/>
  <c r="C86" i="1"/>
  <c r="B86" i="1"/>
  <c r="B85" i="1" s="1"/>
  <c r="F86" i="1"/>
  <c r="F85" i="1" s="1"/>
  <c r="G86" i="1"/>
  <c r="H86" i="1" s="1"/>
  <c r="H84" i="1"/>
  <c r="H70" i="1"/>
  <c r="D70" i="1"/>
  <c r="F64" i="1"/>
  <c r="F63" i="1" s="1"/>
  <c r="B44" i="1"/>
  <c r="B43" i="1" s="1"/>
  <c r="J23" i="1"/>
  <c r="J22" i="1" s="1"/>
  <c r="Q28" i="1"/>
  <c r="F47" i="1"/>
  <c r="B69" i="1" s="1"/>
  <c r="F69" i="1" s="1"/>
  <c r="J69" i="1" s="1"/>
  <c r="B47" i="1"/>
  <c r="W26" i="1"/>
  <c r="F26" i="1"/>
  <c r="B26" i="1"/>
  <c r="S27" i="1"/>
  <c r="S28" i="1"/>
  <c r="S29" i="1"/>
  <c r="S30" i="1"/>
  <c r="S31" i="1"/>
  <c r="S32" i="1"/>
  <c r="S33" i="1"/>
  <c r="S34" i="1"/>
  <c r="S35" i="1"/>
  <c r="S36" i="1"/>
  <c r="S37" i="1"/>
  <c r="S38" i="1"/>
  <c r="W8" i="1"/>
  <c r="W9" i="1"/>
  <c r="W10" i="1"/>
  <c r="W12" i="1"/>
  <c r="W13" i="1"/>
  <c r="W14" i="1"/>
  <c r="W15" i="1"/>
  <c r="W16" i="1"/>
  <c r="W17" i="1"/>
  <c r="W18" i="1"/>
  <c r="G64" i="1"/>
  <c r="H62" i="1"/>
  <c r="C64" i="1"/>
  <c r="D64" i="1" s="1"/>
  <c r="C44" i="1"/>
  <c r="K23" i="1"/>
  <c r="G23" i="1"/>
  <c r="H23" i="1" s="1"/>
  <c r="X8" i="1"/>
  <c r="X9" i="1"/>
  <c r="X10" i="1"/>
  <c r="Y10" i="1" s="1"/>
  <c r="X11" i="1"/>
  <c r="X12" i="1"/>
  <c r="X13" i="1"/>
  <c r="X14" i="1"/>
  <c r="Y14" i="1" s="1"/>
  <c r="X15" i="1"/>
  <c r="X16" i="1"/>
  <c r="Y16" i="1" s="1"/>
  <c r="X17" i="1"/>
  <c r="X18" i="1"/>
  <c r="X21" i="1" s="1"/>
  <c r="K50" i="1"/>
  <c r="K52" i="1"/>
  <c r="L52" i="1" s="1"/>
  <c r="K54" i="1"/>
  <c r="L54" i="1" s="1"/>
  <c r="K56" i="1"/>
  <c r="K57" i="1"/>
  <c r="L57" i="1" s="1"/>
  <c r="K58" i="1"/>
  <c r="K59" i="1"/>
  <c r="L59" i="1" s="1"/>
  <c r="T30" i="1"/>
  <c r="T32" i="1"/>
  <c r="U32" i="1"/>
  <c r="T33" i="1"/>
  <c r="T34" i="1"/>
  <c r="T35" i="1"/>
  <c r="T36" i="1"/>
  <c r="T37" i="1"/>
  <c r="U37" i="1" s="1"/>
  <c r="T27" i="1"/>
  <c r="T28" i="1"/>
  <c r="U28" i="1" s="1"/>
  <c r="T29" i="1"/>
  <c r="U29" i="1" s="1"/>
  <c r="T38" i="1"/>
  <c r="T42" i="1" s="1"/>
  <c r="T7" i="1"/>
  <c r="U7" i="1" s="1"/>
  <c r="T18" i="1"/>
  <c r="T21" i="1" s="1"/>
  <c r="T17" i="1"/>
  <c r="U17" i="1" s="1"/>
  <c r="T16" i="1"/>
  <c r="T15" i="1"/>
  <c r="U15" i="1" s="1"/>
  <c r="T14" i="1"/>
  <c r="U14" i="1" s="1"/>
  <c r="T13" i="1"/>
  <c r="U13" i="1" s="1"/>
  <c r="T12" i="1"/>
  <c r="U12" i="1" s="1"/>
  <c r="T11" i="1"/>
  <c r="U11" i="1" s="1"/>
  <c r="T10" i="1"/>
  <c r="T9" i="1"/>
  <c r="U9" i="1" s="1"/>
  <c r="T8" i="1"/>
  <c r="C26" i="1"/>
  <c r="C47" i="1"/>
  <c r="G47" i="1"/>
  <c r="C69" i="1"/>
  <c r="G69" i="1" s="1"/>
  <c r="K69" i="1" s="1"/>
  <c r="D38" i="1"/>
  <c r="D37" i="1"/>
  <c r="D36" i="1"/>
  <c r="D35" i="1"/>
  <c r="D34" i="1"/>
  <c r="D33" i="1"/>
  <c r="D32" i="1"/>
  <c r="D31" i="1"/>
  <c r="D30" i="1"/>
  <c r="D29" i="1"/>
  <c r="D28" i="1"/>
  <c r="G6" i="1"/>
  <c r="K6" i="1" s="1"/>
  <c r="L81" i="1"/>
  <c r="H81" i="1"/>
  <c r="D81" i="1"/>
  <c r="L80" i="1"/>
  <c r="H80" i="1"/>
  <c r="D80" i="1"/>
  <c r="L79" i="1"/>
  <c r="H79" i="1"/>
  <c r="D79" i="1"/>
  <c r="L78" i="1"/>
  <c r="H78" i="1"/>
  <c r="D78" i="1"/>
  <c r="L77" i="1"/>
  <c r="H77" i="1"/>
  <c r="D77" i="1"/>
  <c r="L76" i="1"/>
  <c r="H76" i="1"/>
  <c r="D76" i="1"/>
  <c r="L75" i="1"/>
  <c r="H75" i="1"/>
  <c r="L74" i="1"/>
  <c r="L73" i="1"/>
  <c r="L72" i="1"/>
  <c r="D72" i="1"/>
  <c r="L71" i="1"/>
  <c r="H71" i="1"/>
  <c r="D71" i="1"/>
  <c r="L69" i="1"/>
  <c r="H69" i="1"/>
  <c r="H7" i="1"/>
  <c r="H59" i="1"/>
  <c r="H58" i="1"/>
  <c r="H57" i="1"/>
  <c r="H56" i="1"/>
  <c r="H55" i="1"/>
  <c r="H54" i="1"/>
  <c r="H53" i="1"/>
  <c r="H52" i="1"/>
  <c r="D59" i="1"/>
  <c r="D58" i="1"/>
  <c r="D57" i="1"/>
  <c r="D56" i="1"/>
  <c r="D55" i="1"/>
  <c r="D54" i="1"/>
  <c r="D53" i="1"/>
  <c r="D52" i="1"/>
  <c r="H38" i="1"/>
  <c r="H37" i="1"/>
  <c r="H36" i="1"/>
  <c r="H35" i="1"/>
  <c r="H34" i="1"/>
  <c r="H33" i="1"/>
  <c r="H32" i="1"/>
  <c r="H31" i="1"/>
  <c r="H51" i="1"/>
  <c r="D51" i="1"/>
  <c r="H30" i="1"/>
  <c r="Y1" i="1"/>
  <c r="T3" i="1"/>
  <c r="P5" i="1"/>
  <c r="T5" i="1"/>
  <c r="X5" i="1"/>
  <c r="H6" i="1"/>
  <c r="H26" i="1" s="1"/>
  <c r="H47" i="1" s="1"/>
  <c r="L6" i="1"/>
  <c r="Q6" i="1" s="1"/>
  <c r="O6" i="1"/>
  <c r="P6" i="1"/>
  <c r="S6" i="1"/>
  <c r="T6" i="1"/>
  <c r="W6" i="1"/>
  <c r="X6" i="1"/>
  <c r="L7" i="1"/>
  <c r="N21" i="1"/>
  <c r="N42" i="1" s="1"/>
  <c r="N22" i="1"/>
  <c r="N43" i="1" s="1"/>
  <c r="N23" i="1"/>
  <c r="N44" i="1"/>
  <c r="P25" i="1"/>
  <c r="T25" i="1"/>
  <c r="X25" i="1"/>
  <c r="D26" i="1"/>
  <c r="D47" i="1" s="1"/>
  <c r="G26" i="1"/>
  <c r="O26" i="1"/>
  <c r="P26" i="1"/>
  <c r="S26" i="1"/>
  <c r="T26" i="1"/>
  <c r="X26" i="1"/>
  <c r="D27" i="1"/>
  <c r="H27" i="1"/>
  <c r="H29" i="1"/>
  <c r="A43" i="1"/>
  <c r="A63" i="1" s="1"/>
  <c r="A44" i="1"/>
  <c r="A64" i="1"/>
  <c r="J47" i="1"/>
  <c r="K47" i="1"/>
  <c r="D48" i="1"/>
  <c r="H48" i="1"/>
  <c r="D49" i="1"/>
  <c r="H49" i="1"/>
  <c r="D50" i="1"/>
  <c r="H50" i="1"/>
  <c r="U34" i="1"/>
  <c r="U38" i="1"/>
  <c r="Y11" i="1"/>
  <c r="L47" i="1"/>
  <c r="U27" i="1"/>
  <c r="Q10" i="1"/>
  <c r="Y38" i="1"/>
  <c r="Y29" i="1"/>
  <c r="Q38" i="1" l="1"/>
  <c r="D84" i="1"/>
  <c r="Y42" i="1"/>
  <c r="U36" i="1"/>
  <c r="U42" i="1"/>
  <c r="L55" i="1"/>
  <c r="Q26" i="1"/>
  <c r="U6" i="1"/>
  <c r="U30" i="1"/>
  <c r="Y8" i="1"/>
  <c r="Q15" i="1"/>
  <c r="Q30" i="1"/>
  <c r="Q8" i="1"/>
  <c r="Q29" i="1"/>
  <c r="O44" i="1"/>
  <c r="Y18" i="1"/>
  <c r="Y12" i="1"/>
  <c r="Y37" i="1"/>
  <c r="W22" i="1"/>
  <c r="Q7" i="1"/>
  <c r="L50" i="1"/>
  <c r="U33" i="1"/>
  <c r="D44" i="1"/>
  <c r="S44" i="1"/>
  <c r="U31" i="1"/>
  <c r="Q18" i="1"/>
  <c r="Q27" i="1"/>
  <c r="W23" i="1"/>
  <c r="Q32" i="1"/>
  <c r="Y15" i="1"/>
  <c r="Y9" i="1"/>
  <c r="Q16" i="1"/>
  <c r="L53" i="1"/>
  <c r="Q11" i="1"/>
  <c r="L49" i="1"/>
  <c r="Q17" i="1"/>
  <c r="Y28" i="1"/>
  <c r="Y34" i="1"/>
  <c r="Y36" i="1"/>
  <c r="Y31" i="1"/>
  <c r="Y30" i="1"/>
  <c r="L51" i="1"/>
  <c r="L56" i="1"/>
  <c r="U35" i="1"/>
  <c r="Q31" i="1"/>
  <c r="Y13" i="1"/>
  <c r="U18" i="1"/>
  <c r="U10" i="1"/>
  <c r="U8" i="1"/>
  <c r="L86" i="1"/>
  <c r="W44" i="1"/>
  <c r="D86" i="1"/>
  <c r="Y27" i="1"/>
  <c r="Y35" i="1"/>
  <c r="J64" i="1"/>
  <c r="J63" i="1" s="1"/>
  <c r="H64" i="1"/>
  <c r="L58" i="1"/>
  <c r="L48" i="1"/>
  <c r="S43" i="1"/>
  <c r="H44" i="1"/>
  <c r="Q33" i="1"/>
  <c r="O43" i="1"/>
  <c r="Q37" i="1"/>
  <c r="Q34" i="1"/>
  <c r="Y17" i="1"/>
  <c r="L23" i="1"/>
  <c r="U16" i="1"/>
  <c r="S22" i="1"/>
  <c r="Q13" i="1"/>
  <c r="O22" i="1"/>
  <c r="Q12" i="1"/>
  <c r="D23" i="1"/>
  <c r="G43" i="1"/>
  <c r="C43" i="1"/>
  <c r="T44" i="1"/>
  <c r="U44" i="1" s="1"/>
  <c r="P23" i="1"/>
  <c r="Q23" i="1" s="1"/>
  <c r="C63" i="1"/>
  <c r="C22" i="1"/>
  <c r="P44" i="1"/>
  <c r="Q44" i="1" s="1"/>
  <c r="G85" i="1"/>
  <c r="G22" i="1"/>
  <c r="X44" i="1"/>
  <c r="G63" i="1"/>
  <c r="K64" i="1"/>
  <c r="K43" i="1"/>
  <c r="K22" i="1"/>
  <c r="U21" i="1"/>
  <c r="L84" i="1"/>
  <c r="K85" i="1"/>
  <c r="C85" i="1"/>
  <c r="D62" i="1"/>
  <c r="X23" i="1"/>
  <c r="T23" i="1"/>
  <c r="U23" i="1" s="1"/>
  <c r="Y23" i="1" l="1"/>
  <c r="Y21" i="1"/>
  <c r="U26" i="1"/>
  <c r="Y6" i="1"/>
  <c r="Y26" i="1" s="1"/>
  <c r="Y44" i="1"/>
  <c r="W43" i="1"/>
  <c r="L64" i="1"/>
  <c r="L62" i="1"/>
  <c r="Q42" i="1"/>
  <c r="T43" i="1"/>
  <c r="P43" i="1"/>
  <c r="X43" i="1"/>
  <c r="K63" i="1"/>
  <c r="P22" i="1"/>
  <c r="Q21" i="1"/>
  <c r="X22" i="1"/>
  <c r="T22" i="1"/>
</calcChain>
</file>

<file path=xl/sharedStrings.xml><?xml version="1.0" encoding="utf-8"?>
<sst xmlns="http://schemas.openxmlformats.org/spreadsheetml/2006/main" count="189" uniqueCount="80">
  <si>
    <t>Report of Dollars</t>
  </si>
  <si>
    <t xml:space="preserve">    </t>
  </si>
  <si>
    <t xml:space="preserve"> </t>
  </si>
  <si>
    <t>See notes, page 2</t>
  </si>
  <si>
    <t>(thousands)</t>
  </si>
  <si>
    <t>See notes, below</t>
  </si>
  <si>
    <t>(thousands, except Trip Permits)</t>
  </si>
  <si>
    <t>Gasoline &amp; Gasohol</t>
  </si>
  <si>
    <t>Diesel</t>
  </si>
  <si>
    <t>LP-Gas</t>
  </si>
  <si>
    <t>Month</t>
  </si>
  <si>
    <t>% chg</t>
  </si>
  <si>
    <t>JUL</t>
  </si>
  <si>
    <t>AUG</t>
  </si>
  <si>
    <t>SEP</t>
  </si>
  <si>
    <t>OCT</t>
  </si>
  <si>
    <t>NOV</t>
  </si>
  <si>
    <t>DEC</t>
  </si>
  <si>
    <t>JAN</t>
  </si>
  <si>
    <t>FEB</t>
  </si>
  <si>
    <t>MAR</t>
  </si>
  <si>
    <t>APR</t>
  </si>
  <si>
    <t>MAY</t>
  </si>
  <si>
    <t>JUNE</t>
  </si>
  <si>
    <t>FYTD</t>
  </si>
  <si>
    <t>% total</t>
  </si>
  <si>
    <t>FY</t>
  </si>
  <si>
    <t>Interstate</t>
  </si>
  <si>
    <t xml:space="preserve">      Trip Permits</t>
  </si>
  <si>
    <t>(number)</t>
  </si>
  <si>
    <t>Alcohol</t>
  </si>
  <si>
    <t>Highway</t>
  </si>
  <si>
    <t>Sp C/C</t>
  </si>
  <si>
    <t>Net</t>
  </si>
  <si>
    <t>NOTES:</t>
  </si>
  <si>
    <t>Total Refunds</t>
  </si>
  <si>
    <t>Gallons are unrounded collections divided by current tax rate  (Gasoline, Gasohol @ 24¢; Special, Interstate @</t>
  </si>
  <si>
    <t>26¢; LP-G @ 23¢; Trips @ $13.00) EXCEPT Refund gallons are from all fuels, with a rate at about 24¢</t>
  </si>
  <si>
    <t>Total Collections</t>
  </si>
  <si>
    <t>Report of Volume in Gallons/Units</t>
  </si>
  <si>
    <t xml:space="preserve">Months are collection months. </t>
  </si>
  <si>
    <t>n/a</t>
  </si>
  <si>
    <t xml:space="preserve">      % chg</t>
  </si>
  <si>
    <t xml:space="preserve">          % chg</t>
  </si>
  <si>
    <t xml:space="preserve">       % chg</t>
  </si>
  <si>
    <t xml:space="preserve">     % chg</t>
  </si>
  <si>
    <t xml:space="preserve">         % chg</t>
  </si>
  <si>
    <t xml:space="preserve">      Alcohol</t>
  </si>
  <si>
    <t xml:space="preserve">       Highway</t>
  </si>
  <si>
    <t xml:space="preserve">      Sp C/C</t>
  </si>
  <si>
    <t xml:space="preserve">        % chg</t>
  </si>
  <si>
    <t>Gasoline &amp; Gasohol Refunds</t>
  </si>
  <si>
    <t>Diesel Refunds</t>
  </si>
  <si>
    <t>LP-Gas Refunds</t>
  </si>
  <si>
    <t xml:space="preserve">MAY </t>
  </si>
  <si>
    <t>Gasoline &amp; Gasohol Fiscal Year to Date</t>
  </si>
  <si>
    <t xml:space="preserve">             Diesel Fiscal Year to Date</t>
  </si>
  <si>
    <t xml:space="preserve">              LP Gas Fiscal Year to Date</t>
  </si>
  <si>
    <t xml:space="preserve">                 Diesel Fiscal Year to Date</t>
  </si>
  <si>
    <t>Interstate Fiscal Year to Date</t>
  </si>
  <si>
    <t>Trip Permits Fiscal Year to Date</t>
  </si>
  <si>
    <t xml:space="preserve">            Trip Permits Fiscal Year to Date</t>
  </si>
  <si>
    <t>Total Refunds Fiscal Year to Date</t>
  </si>
  <si>
    <t>Total Collections Fiscal Year to Date</t>
  </si>
  <si>
    <t>Net of Refund Fiscal Year to Date</t>
  </si>
  <si>
    <t>Gasoline &amp; Gasohol Refunds Fiscal Year to Date</t>
  </si>
  <si>
    <t>Diesel Refunds Fiscal Year to Date</t>
  </si>
  <si>
    <t>LP-Gas Refunds Fiscal Year to Date</t>
  </si>
  <si>
    <t>FYTotal</t>
  </si>
  <si>
    <t>Net after Refunds</t>
  </si>
  <si>
    <t>FY 2017 Distribution Fiscal Year to Date</t>
  </si>
  <si>
    <t>FY 18</t>
  </si>
  <si>
    <t>All information in this report are obtained from KDOR's comparative Statement of Taxes and Fees, which reports monthly collection of receipts.</t>
  </si>
  <si>
    <t>Interstate gallons computed at special motor fuel tax rate.  IFTA gallons included when transferred from IFTA Clearing Fund.</t>
  </si>
  <si>
    <t>Inventory taxes apply when fuel rates change.</t>
  </si>
  <si>
    <t>Totals may not equal sums from rounding.</t>
  </si>
  <si>
    <t>FY 19</t>
  </si>
  <si>
    <t>FY 2019: Actual Collections of Motor Fuel Taxes</t>
  </si>
  <si>
    <t>FY 2019: Actual Volume in Gallons/Units</t>
  </si>
  <si>
    <t>Total Collections include collections from E-85.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</si>
</sst>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164" formatCode="#,##0.000\ ;\(#,##0.000\)"/>
    <numFmt numFmtId="165" formatCode="&quot;$&quot;#,##0.000;\(&quot;$&quot;#,##0.000\)"/>
    <numFmt numFmtId="166" formatCode="0.00%;\(0.00%\)"/>
    <numFmt numFmtId="167" formatCode="0.0%;\(0.0%\)"/>
    <numFmt numFmtId="168" formatCode="&quot;$&quot;#,##0.000\ ;\(&quot;$&quot;#,##0.000\)"/>
    <numFmt numFmtId="169" formatCode="#,##0.000;\(#,##0.000\)"/>
    <numFmt numFmtId="170" formatCode="0.0%"/>
    <numFmt numFmtId="171" formatCode="&quot;$&quot;#,##0"/>
  </numFmts>
  <fonts count="6">
    <font>
      <sz val="9"/>
      <name val="Geneva"/>
    </font>
    <font>
      <sz val="10"/>
      <name val="Geneva"/>
    </font>
    <font>
      <sz val="8"/>
      <name val="Geneva"/>
    </font>
    <font>
      <b/>
      <sz val="9"/>
      <name val="Arial"/>
      <family val="2"/>
    </font>
    <font>
      <sz val="9"/>
      <name val="Arial"/>
      <family val="2"/>
    </font>
    <font>
      <u/>
      <sz val="9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4" fontId="1" fillId="0" borderId="0" applyFont="0" applyFill="0" applyBorder="0" applyAlignment="0" applyProtection="0"/>
    <xf numFmtId="8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1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64" fontId="4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right"/>
    </xf>
    <xf numFmtId="0" fontId="3" fillId="0" borderId="0" xfId="0" applyFont="1" applyBorder="1"/>
    <xf numFmtId="5" fontId="4" fillId="0" borderId="0" xfId="0" applyNumberFormat="1" applyFont="1" applyBorder="1"/>
    <xf numFmtId="164" fontId="4" fillId="0" borderId="0" xfId="0" applyNumberFormat="1" applyFont="1" applyAlignment="1">
      <alignment horizontal="left"/>
    </xf>
    <xf numFmtId="0" fontId="3" fillId="0" borderId="0" xfId="0" applyFont="1" applyAlignment="1">
      <alignment horizontal="right"/>
    </xf>
    <xf numFmtId="3" fontId="4" fillId="0" borderId="0" xfId="0" applyNumberFormat="1" applyFont="1"/>
    <xf numFmtId="0" fontId="4" fillId="0" borderId="0" xfId="0" applyFont="1" applyAlignment="1">
      <alignment horizontal="fill"/>
    </xf>
    <xf numFmtId="3" fontId="4" fillId="0" borderId="0" xfId="0" applyNumberFormat="1" applyFont="1" applyAlignment="1">
      <alignment horizontal="center"/>
    </xf>
    <xf numFmtId="5" fontId="4" fillId="0" borderId="0" xfId="0" applyNumberFormat="1" applyFont="1"/>
    <xf numFmtId="0" fontId="4" fillId="0" borderId="1" xfId="0" applyFont="1" applyBorder="1" applyAlignment="1">
      <alignment horizontal="fill"/>
    </xf>
    <xf numFmtId="0" fontId="4" fillId="0" borderId="2" xfId="0" applyFont="1" applyBorder="1" applyAlignment="1">
      <alignment horizontal="center"/>
    </xf>
    <xf numFmtId="0" fontId="4" fillId="0" borderId="3" xfId="0" applyFont="1" applyBorder="1"/>
    <xf numFmtId="164" fontId="4" fillId="0" borderId="1" xfId="0" applyNumberFormat="1" applyFont="1" applyBorder="1" applyAlignment="1">
      <alignment horizontal="right"/>
    </xf>
    <xf numFmtId="164" fontId="4" fillId="0" borderId="2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Alignment="1">
      <alignment horizontal="left"/>
    </xf>
    <xf numFmtId="171" fontId="4" fillId="0" borderId="0" xfId="0" applyNumberFormat="1" applyFont="1"/>
    <xf numFmtId="167" fontId="4" fillId="0" borderId="0" xfId="0" applyNumberFormat="1" applyFont="1"/>
    <xf numFmtId="3" fontId="4" fillId="0" borderId="0" xfId="1" applyNumberFormat="1" applyFont="1"/>
    <xf numFmtId="171" fontId="4" fillId="0" borderId="4" xfId="0" applyNumberFormat="1" applyFont="1" applyBorder="1"/>
    <xf numFmtId="167" fontId="4" fillId="0" borderId="4" xfId="0" applyNumberFormat="1" applyFont="1" applyBorder="1"/>
    <xf numFmtId="3" fontId="4" fillId="0" borderId="4" xfId="0" applyNumberFormat="1" applyFont="1" applyBorder="1"/>
    <xf numFmtId="3" fontId="4" fillId="0" borderId="0" xfId="0" applyNumberFormat="1" applyFont="1" applyBorder="1"/>
    <xf numFmtId="168" fontId="4" fillId="0" borderId="0" xfId="0" applyNumberFormat="1" applyFont="1"/>
    <xf numFmtId="37" fontId="4" fillId="0" borderId="0" xfId="0" applyNumberFormat="1" applyFont="1"/>
    <xf numFmtId="3" fontId="4" fillId="0" borderId="0" xfId="1" applyNumberFormat="1" applyFont="1" applyAlignment="1">
      <alignment horizontal="right"/>
    </xf>
    <xf numFmtId="0" fontId="4" fillId="0" borderId="0" xfId="0" applyFont="1" applyAlignment="1">
      <alignment horizontal="right"/>
    </xf>
    <xf numFmtId="167" fontId="4" fillId="0" borderId="0" xfId="0" applyNumberFormat="1" applyFont="1" applyAlignment="1">
      <alignment horizontal="right"/>
    </xf>
    <xf numFmtId="6" fontId="4" fillId="0" borderId="0" xfId="2" applyNumberFormat="1" applyFont="1" applyAlignment="1"/>
    <xf numFmtId="166" fontId="4" fillId="0" borderId="0" xfId="0" applyNumberFormat="1" applyFont="1"/>
    <xf numFmtId="165" fontId="4" fillId="0" borderId="0" xfId="0" applyNumberFormat="1" applyFont="1"/>
    <xf numFmtId="169" fontId="4" fillId="0" borderId="0" xfId="0" applyNumberFormat="1" applyFont="1"/>
    <xf numFmtId="166" fontId="4" fillId="0" borderId="3" xfId="0" applyNumberFormat="1" applyFont="1" applyBorder="1"/>
    <xf numFmtId="0" fontId="4" fillId="0" borderId="1" xfId="0" applyFont="1" applyBorder="1"/>
    <xf numFmtId="166" fontId="4" fillId="0" borderId="3" xfId="0" applyNumberFormat="1" applyFont="1" applyBorder="1" applyAlignment="1">
      <alignment horizontal="center"/>
    </xf>
    <xf numFmtId="166" fontId="4" fillId="0" borderId="0" xfId="0" applyNumberFormat="1" applyFont="1" applyBorder="1" applyAlignment="1">
      <alignment horizontal="center"/>
    </xf>
    <xf numFmtId="164" fontId="4" fillId="0" borderId="2" xfId="0" applyNumberFormat="1" applyFont="1" applyBorder="1" applyAlignment="1">
      <alignment horizontal="right"/>
    </xf>
    <xf numFmtId="166" fontId="4" fillId="0" borderId="0" xfId="0" applyNumberFormat="1" applyFont="1" applyBorder="1"/>
    <xf numFmtId="164" fontId="4" fillId="0" borderId="6" xfId="0" applyNumberFormat="1" applyFont="1" applyBorder="1" applyAlignment="1">
      <alignment horizontal="center"/>
    </xf>
    <xf numFmtId="171" fontId="4" fillId="0" borderId="0" xfId="0" applyNumberFormat="1" applyFont="1" applyAlignment="1">
      <alignment horizontal="center"/>
    </xf>
    <xf numFmtId="171" fontId="4" fillId="0" borderId="4" xfId="0" applyNumberFormat="1" applyFont="1" applyBorder="1" applyAlignment="1">
      <alignment horizontal="center"/>
    </xf>
    <xf numFmtId="168" fontId="4" fillId="0" borderId="0" xfId="0" applyNumberFormat="1" applyFont="1" applyBorder="1"/>
    <xf numFmtId="0" fontId="4" fillId="0" borderId="4" xfId="0" applyFont="1" applyBorder="1" applyAlignment="1">
      <alignment horizontal="left"/>
    </xf>
    <xf numFmtId="5" fontId="4" fillId="0" borderId="0" xfId="0" applyNumberFormat="1" applyFont="1" applyAlignment="1">
      <alignment horizontal="right"/>
    </xf>
    <xf numFmtId="166" fontId="4" fillId="0" borderId="0" xfId="0" applyNumberFormat="1" applyFont="1" applyAlignment="1">
      <alignment horizontal="right"/>
    </xf>
    <xf numFmtId="170" fontId="4" fillId="0" borderId="0" xfId="3" applyNumberFormat="1" applyFont="1" applyAlignment="1">
      <alignment horizontal="right"/>
    </xf>
    <xf numFmtId="6" fontId="4" fillId="0" borderId="0" xfId="2" applyNumberFormat="1" applyFont="1" applyAlignment="1">
      <alignment horizontal="right"/>
    </xf>
    <xf numFmtId="4" fontId="4" fillId="0" borderId="0" xfId="1" applyFont="1"/>
    <xf numFmtId="38" fontId="4" fillId="0" borderId="0" xfId="0" applyNumberFormat="1" applyFont="1"/>
    <xf numFmtId="164" fontId="4" fillId="0" borderId="0" xfId="0" applyNumberFormat="1" applyFont="1" applyBorder="1" applyAlignment="1">
      <alignment horizontal="left"/>
    </xf>
    <xf numFmtId="0" fontId="4" fillId="0" borderId="0" xfId="0" applyFont="1" applyBorder="1" applyAlignment="1">
      <alignment horizontal="left"/>
    </xf>
    <xf numFmtId="5" fontId="4" fillId="0" borderId="0" xfId="0" applyNumberFormat="1" applyFont="1" applyBorder="1" applyAlignment="1">
      <alignment horizontal="right"/>
    </xf>
    <xf numFmtId="168" fontId="4" fillId="0" borderId="0" xfId="0" applyNumberFormat="1" applyFont="1" applyBorder="1" applyAlignment="1">
      <alignment horizontal="right"/>
    </xf>
    <xf numFmtId="168" fontId="4" fillId="0" borderId="0" xfId="0" applyNumberFormat="1" applyFont="1" applyBorder="1" applyAlignment="1">
      <alignment horizontal="center"/>
    </xf>
    <xf numFmtId="7" fontId="4" fillId="0" borderId="0" xfId="0" applyNumberFormat="1" applyFont="1" applyBorder="1" applyAlignment="1">
      <alignment horizontal="center"/>
    </xf>
    <xf numFmtId="169" fontId="4" fillId="0" borderId="0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Border="1"/>
    <xf numFmtId="0" fontId="4" fillId="0" borderId="0" xfId="0" applyFont="1" applyBorder="1" applyAlignment="1">
      <alignment horizontal="right"/>
    </xf>
    <xf numFmtId="3" fontId="4" fillId="0" borderId="0" xfId="0" applyNumberFormat="1" applyFont="1" applyBorder="1" applyAlignment="1">
      <alignment horizontal="center"/>
    </xf>
    <xf numFmtId="6" fontId="4" fillId="0" borderId="0" xfId="2" applyNumberFormat="1" applyFont="1"/>
    <xf numFmtId="167" fontId="4" fillId="0" borderId="0" xfId="0" applyNumberFormat="1" applyFont="1" applyBorder="1"/>
    <xf numFmtId="3" fontId="4" fillId="0" borderId="0" xfId="0" applyNumberFormat="1" applyFont="1" applyAlignment="1">
      <alignment horizontal="right"/>
    </xf>
    <xf numFmtId="6" fontId="4" fillId="0" borderId="0" xfId="0" applyNumberFormat="1" applyFont="1" applyBorder="1" applyAlignment="1">
      <alignment horizontal="right"/>
    </xf>
    <xf numFmtId="0" fontId="4" fillId="0" borderId="4" xfId="0" applyFont="1" applyBorder="1" applyAlignment="1">
      <alignment horizontal="center" vertical="center"/>
    </xf>
    <xf numFmtId="171" fontId="4" fillId="0" borderId="0" xfId="0" applyNumberFormat="1" applyFont="1" applyAlignment="1"/>
    <xf numFmtId="171" fontId="4" fillId="0" borderId="4" xfId="0" applyNumberFormat="1" applyFont="1" applyBorder="1" applyAlignment="1"/>
    <xf numFmtId="5" fontId="4" fillId="0" borderId="0" xfId="0" applyNumberFormat="1" applyFont="1" applyBorder="1" applyAlignment="1">
      <alignment horizontal="center"/>
    </xf>
    <xf numFmtId="171" fontId="4" fillId="0" borderId="0" xfId="0" applyNumberFormat="1" applyFont="1" applyAlignment="1">
      <alignment horizontal="right"/>
    </xf>
    <xf numFmtId="171" fontId="4" fillId="0" borderId="4" xfId="0" applyNumberFormat="1" applyFont="1" applyBorder="1" applyAlignment="1">
      <alignment horizontal="right"/>
    </xf>
    <xf numFmtId="0" fontId="4" fillId="0" borderId="6" xfId="0" applyFont="1" applyBorder="1" applyAlignment="1">
      <alignment horizontal="center" vertical="center"/>
    </xf>
    <xf numFmtId="164" fontId="4" fillId="0" borderId="7" xfId="0" applyNumberFormat="1" applyFont="1" applyBorder="1" applyAlignment="1">
      <alignment horizontal="right"/>
    </xf>
    <xf numFmtId="0" fontId="4" fillId="0" borderId="7" xfId="0" applyFont="1" applyBorder="1" applyAlignment="1">
      <alignment horizontal="fill"/>
    </xf>
    <xf numFmtId="0" fontId="4" fillId="0" borderId="3" xfId="0" applyFont="1" applyBorder="1" applyAlignment="1">
      <alignment horizontal="center"/>
    </xf>
    <xf numFmtId="164" fontId="4" fillId="0" borderId="8" xfId="0" applyNumberFormat="1" applyFont="1" applyBorder="1" applyAlignment="1">
      <alignment horizontal="right"/>
    </xf>
    <xf numFmtId="0" fontId="4" fillId="0" borderId="5" xfId="0" applyFont="1" applyBorder="1"/>
    <xf numFmtId="0" fontId="4" fillId="0" borderId="2" xfId="0" applyFont="1" applyBorder="1" applyAlignment="1">
      <alignment horizontal="left"/>
    </xf>
    <xf numFmtId="6" fontId="4" fillId="0" borderId="4" xfId="2" applyNumberFormat="1" applyFont="1" applyBorder="1"/>
    <xf numFmtId="3" fontId="4" fillId="0" borderId="2" xfId="0" applyNumberFormat="1" applyFont="1" applyBorder="1"/>
    <xf numFmtId="167" fontId="4" fillId="0" borderId="2" xfId="0" applyNumberFormat="1" applyFont="1" applyBorder="1"/>
    <xf numFmtId="0" fontId="4" fillId="0" borderId="0" xfId="0" applyFont="1" applyBorder="1" applyAlignment="1">
      <alignment horizontal="center" vertic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8"/>
  <sheetViews>
    <sheetView showGridLines="0" tabSelected="1" showOutlineSymbols="0" workbookViewId="0">
      <selection activeCell="P79" sqref="P79"/>
    </sheetView>
  </sheetViews>
  <sheetFormatPr defaultColWidth="10.85546875" defaultRowHeight="12" outlineLevelRow="3"/>
  <cols>
    <col min="1" max="1" width="6.85546875" style="2" customWidth="1"/>
    <col min="2" max="2" width="10.5703125" style="2" customWidth="1"/>
    <col min="3" max="3" width="12.28515625" style="2" customWidth="1"/>
    <col min="4" max="4" width="10" style="2" customWidth="1"/>
    <col min="5" max="5" width="2.85546875" style="2" customWidth="1"/>
    <col min="6" max="6" width="10.42578125" style="2" customWidth="1"/>
    <col min="7" max="7" width="10" style="2" customWidth="1"/>
    <col min="8" max="8" width="10.5703125" style="2" customWidth="1"/>
    <col min="9" max="9" width="2.85546875" style="2" customWidth="1"/>
    <col min="10" max="10" width="10.140625" style="2" customWidth="1"/>
    <col min="11" max="11" width="11.140625" style="2" customWidth="1"/>
    <col min="12" max="12" width="10.85546875" style="2" customWidth="1"/>
    <col min="13" max="13" width="1.85546875" style="2" customWidth="1"/>
    <col min="14" max="14" width="6.85546875" style="2" customWidth="1"/>
    <col min="15" max="15" width="11.7109375" style="2" customWidth="1"/>
    <col min="16" max="16" width="11.140625" style="2" customWidth="1"/>
    <col min="17" max="17" width="9.7109375" style="2" customWidth="1"/>
    <col min="18" max="18" width="2.85546875" style="2" customWidth="1"/>
    <col min="19" max="19" width="13" style="2" customWidth="1"/>
    <col min="20" max="20" width="12.140625" style="2" customWidth="1"/>
    <col min="21" max="21" width="9.7109375" style="2" customWidth="1"/>
    <col min="22" max="22" width="2.85546875" style="2" customWidth="1"/>
    <col min="23" max="23" width="10.85546875" style="2" customWidth="1"/>
    <col min="24" max="24" width="11.42578125" style="2" customWidth="1"/>
    <col min="25" max="25" width="11" style="2" customWidth="1"/>
    <col min="26" max="26" width="11.140625" style="2" customWidth="1"/>
    <col min="27" max="29" width="9.85546875" style="2" customWidth="1"/>
    <col min="30" max="30" width="9.7109375" style="2" customWidth="1"/>
    <col min="31" max="241" width="9.85546875" style="2" customWidth="1"/>
    <col min="242" max="16384" width="10.85546875" style="2"/>
  </cols>
  <sheetData>
    <row r="1" spans="1:26" outlineLevel="1">
      <c r="A1" s="1"/>
      <c r="C1" s="3"/>
      <c r="G1" s="4" t="s">
        <v>0</v>
      </c>
      <c r="K1" s="5"/>
      <c r="L1" s="6"/>
      <c r="N1" s="7"/>
      <c r="T1" s="4" t="s">
        <v>39</v>
      </c>
      <c r="Y1" s="6" t="str">
        <f>"2/2"</f>
        <v>2/2</v>
      </c>
    </row>
    <row r="2" spans="1:26">
      <c r="A2" s="1"/>
      <c r="C2" s="8"/>
      <c r="G2" s="3" t="s">
        <v>77</v>
      </c>
      <c r="J2" s="5"/>
      <c r="K2" s="9"/>
      <c r="L2" s="10"/>
      <c r="N2" s="1"/>
      <c r="P2" s="11"/>
      <c r="T2" s="3" t="s">
        <v>78</v>
      </c>
      <c r="Z2" s="10"/>
    </row>
    <row r="3" spans="1:26">
      <c r="F3" s="5"/>
      <c r="G3" s="3" t="s">
        <v>1</v>
      </c>
      <c r="J3" s="5"/>
      <c r="K3" s="5"/>
      <c r="L3" s="10"/>
      <c r="P3" s="2" t="s">
        <v>2</v>
      </c>
      <c r="T3" s="3" t="str">
        <f>G3</f>
        <v xml:space="preserve">    </v>
      </c>
      <c r="Z3" s="10"/>
    </row>
    <row r="4" spans="1:26">
      <c r="A4" s="2" t="s">
        <v>3</v>
      </c>
      <c r="B4" s="12"/>
      <c r="C4" s="13"/>
      <c r="F4" s="5"/>
      <c r="G4" s="4" t="s">
        <v>4</v>
      </c>
      <c r="H4" s="14"/>
      <c r="J4" s="5"/>
      <c r="N4" s="2" t="s">
        <v>5</v>
      </c>
      <c r="P4" s="11"/>
      <c r="Q4" s="11"/>
      <c r="R4" s="11"/>
      <c r="S4" s="11"/>
      <c r="T4" s="4" t="s">
        <v>6</v>
      </c>
      <c r="U4" s="11"/>
      <c r="V4" s="11"/>
      <c r="W4" s="11"/>
      <c r="X4" s="11"/>
    </row>
    <row r="5" spans="1:26">
      <c r="B5" s="15"/>
      <c r="C5" s="16" t="s">
        <v>7</v>
      </c>
      <c r="D5" s="17"/>
      <c r="E5" s="3"/>
      <c r="F5" s="18"/>
      <c r="G5" s="16" t="s">
        <v>8</v>
      </c>
      <c r="H5" s="17"/>
      <c r="J5" s="18"/>
      <c r="K5" s="19" t="s">
        <v>9</v>
      </c>
      <c r="L5" s="17"/>
      <c r="O5" s="15"/>
      <c r="P5" s="16" t="str">
        <f>C5</f>
        <v>Gasoline &amp; Gasohol</v>
      </c>
      <c r="Q5" s="17"/>
      <c r="R5" s="3"/>
      <c r="S5" s="18"/>
      <c r="T5" s="16" t="str">
        <f>G5</f>
        <v>Diesel</v>
      </c>
      <c r="U5" s="17"/>
      <c r="V5" s="20"/>
      <c r="W5" s="18"/>
      <c r="X5" s="16" t="str">
        <f>K5</f>
        <v>LP-Gas</v>
      </c>
      <c r="Y5" s="17"/>
    </row>
    <row r="6" spans="1:26">
      <c r="A6" s="21" t="s">
        <v>10</v>
      </c>
      <c r="B6" s="80" t="s">
        <v>71</v>
      </c>
      <c r="C6" s="74" t="s">
        <v>76</v>
      </c>
      <c r="D6" s="22" t="s">
        <v>11</v>
      </c>
      <c r="E6" s="3"/>
      <c r="F6" s="23" t="str">
        <f>B6</f>
        <v>FY 18</v>
      </c>
      <c r="G6" s="21" t="str">
        <f>C6</f>
        <v>FY 19</v>
      </c>
      <c r="H6" s="22" t="str">
        <f>D6</f>
        <v>% chg</v>
      </c>
      <c r="J6" s="23" t="str">
        <f>F6</f>
        <v>FY 18</v>
      </c>
      <c r="K6" s="21" t="str">
        <f>G6</f>
        <v>FY 19</v>
      </c>
      <c r="L6" s="22" t="str">
        <f>D6</f>
        <v>% chg</v>
      </c>
      <c r="N6" s="21" t="s">
        <v>10</v>
      </c>
      <c r="O6" s="23" t="str">
        <f>B6</f>
        <v>FY 18</v>
      </c>
      <c r="P6" s="21" t="str">
        <f>C6</f>
        <v>FY 19</v>
      </c>
      <c r="Q6" s="22" t="str">
        <f>L6</f>
        <v>% chg</v>
      </c>
      <c r="R6" s="3"/>
      <c r="S6" s="23" t="str">
        <f>B6</f>
        <v>FY 18</v>
      </c>
      <c r="T6" s="21" t="str">
        <f>C6</f>
        <v>FY 19</v>
      </c>
      <c r="U6" s="22" t="str">
        <f>Q6</f>
        <v>% chg</v>
      </c>
      <c r="V6" s="24"/>
      <c r="W6" s="23" t="str">
        <f>B6</f>
        <v>FY 18</v>
      </c>
      <c r="X6" s="21" t="str">
        <f>C6</f>
        <v>FY 19</v>
      </c>
      <c r="Y6" s="22" t="str">
        <f>U6</f>
        <v>% chg</v>
      </c>
    </row>
    <row r="7" spans="1:26">
      <c r="A7" s="25" t="s">
        <v>12</v>
      </c>
      <c r="B7" s="75">
        <v>28090.887999999999</v>
      </c>
      <c r="C7" s="70">
        <v>28540.921999999999</v>
      </c>
      <c r="D7" s="27">
        <f t="shared" ref="D7:D18" si="0">(C7-B7)/B7</f>
        <v>1.6020639860156775E-2</v>
      </c>
      <c r="E7" s="27"/>
      <c r="F7" s="26">
        <v>8257.8919999999998</v>
      </c>
      <c r="G7" s="70">
        <v>9229.491</v>
      </c>
      <c r="H7" s="27">
        <f t="shared" ref="H7:H18" si="1">(G7-F7)/F7</f>
        <v>0.11765702433502402</v>
      </c>
      <c r="J7" s="26">
        <v>115.877</v>
      </c>
      <c r="K7" s="70">
        <v>134.95599999999999</v>
      </c>
      <c r="L7" s="27">
        <f t="shared" ref="L7:L18" si="2">(K7-J7)/J7</f>
        <v>0.16464872235214922</v>
      </c>
      <c r="N7" s="25" t="s">
        <v>12</v>
      </c>
      <c r="O7" s="11">
        <f>B7/0.24</f>
        <v>117045.36666666667</v>
      </c>
      <c r="P7" s="11">
        <f>C7/0.24</f>
        <v>118920.50833333333</v>
      </c>
      <c r="Q7" s="27">
        <f t="shared" ref="Q7:Q18" si="3">(P7-O7)/O7</f>
        <v>1.6020639860156755E-2</v>
      </c>
      <c r="R7" s="27"/>
      <c r="S7" s="11">
        <f t="shared" ref="S7:S18" si="4">F7/0.26</f>
        <v>31761.123076923075</v>
      </c>
      <c r="T7" s="11">
        <f t="shared" ref="T7:T18" si="5">G7/0.26</f>
        <v>35498.042307692303</v>
      </c>
      <c r="U7" s="27">
        <f t="shared" ref="U7:U18" si="6">(T7-S7)/S7</f>
        <v>0.11765702433502392</v>
      </c>
      <c r="V7" s="27"/>
      <c r="W7" s="11">
        <f>J7/0.23</f>
        <v>503.81304347826085</v>
      </c>
      <c r="X7" s="11">
        <f>K7/0.23</f>
        <v>586.7652173913043</v>
      </c>
      <c r="Y7" s="27">
        <f t="shared" ref="Y7:Y18" si="7">(X7-W7)/W7</f>
        <v>0.16464872235214922</v>
      </c>
    </row>
    <row r="8" spans="1:26">
      <c r="A8" s="25" t="s">
        <v>13</v>
      </c>
      <c r="B8" s="75">
        <v>32505.851999999999</v>
      </c>
      <c r="C8" s="70">
        <v>30403.177</v>
      </c>
      <c r="D8" s="27">
        <f t="shared" si="0"/>
        <v>-6.4686044838941595E-2</v>
      </c>
      <c r="E8" s="27"/>
      <c r="F8" s="26">
        <v>10183.527</v>
      </c>
      <c r="G8" s="70">
        <v>10075.710999999999</v>
      </c>
      <c r="H8" s="27">
        <f t="shared" si="1"/>
        <v>-1.058729455914446E-2</v>
      </c>
      <c r="J8" s="26">
        <v>259.80799999999999</v>
      </c>
      <c r="K8" s="70">
        <v>130.209</v>
      </c>
      <c r="L8" s="27">
        <f t="shared" si="2"/>
        <v>-0.49882605616455228</v>
      </c>
      <c r="N8" s="25" t="s">
        <v>13</v>
      </c>
      <c r="O8" s="11">
        <f t="shared" ref="O8:O18" si="8">B8/0.24</f>
        <v>135441.04999999999</v>
      </c>
      <c r="P8" s="11">
        <f t="shared" ref="P8:P18" si="9">C8/0.24</f>
        <v>126679.90416666667</v>
      </c>
      <c r="Q8" s="27">
        <f t="shared" si="3"/>
        <v>-6.4686044838941484E-2</v>
      </c>
      <c r="R8" s="27"/>
      <c r="S8" s="11">
        <f t="shared" si="4"/>
        <v>39167.411538461536</v>
      </c>
      <c r="T8" s="11">
        <f t="shared" si="5"/>
        <v>38752.734615384608</v>
      </c>
      <c r="U8" s="27">
        <f t="shared" si="6"/>
        <v>-1.0587294559144511E-2</v>
      </c>
      <c r="V8" s="27"/>
      <c r="W8" s="11">
        <f t="shared" ref="W8:W18" si="10">J8/0.23</f>
        <v>1129.5999999999999</v>
      </c>
      <c r="X8" s="11">
        <f>K8/0.23</f>
        <v>566.1260869565217</v>
      </c>
      <c r="Y8" s="27">
        <f t="shared" si="7"/>
        <v>-0.49882605616455228</v>
      </c>
    </row>
    <row r="9" spans="1:26">
      <c r="A9" s="25" t="s">
        <v>14</v>
      </c>
      <c r="B9" s="75">
        <v>30103.601999999999</v>
      </c>
      <c r="C9" s="70">
        <v>26756.080000000002</v>
      </c>
      <c r="D9" s="27">
        <f t="shared" si="0"/>
        <v>-0.11120004841945483</v>
      </c>
      <c r="E9" s="27"/>
      <c r="F9" s="26">
        <v>9235.8220000000001</v>
      </c>
      <c r="G9" s="70">
        <v>7772.4880000000003</v>
      </c>
      <c r="H9" s="27">
        <f t="shared" si="1"/>
        <v>-0.15844112197051868</v>
      </c>
      <c r="J9" s="26">
        <v>41.33</v>
      </c>
      <c r="K9" s="70">
        <v>123.19199999999999</v>
      </c>
      <c r="L9" s="27">
        <f t="shared" si="2"/>
        <v>1.9806919912896201</v>
      </c>
      <c r="N9" s="25" t="s">
        <v>14</v>
      </c>
      <c r="O9" s="11">
        <f t="shared" si="8"/>
        <v>125431.675</v>
      </c>
      <c r="P9" s="11">
        <f t="shared" si="9"/>
        <v>111483.66666666667</v>
      </c>
      <c r="Q9" s="27">
        <f t="shared" si="3"/>
        <v>-0.1112000484194549</v>
      </c>
      <c r="R9" s="27"/>
      <c r="S9" s="11">
        <f t="shared" si="4"/>
        <v>35522.392307692309</v>
      </c>
      <c r="T9" s="11">
        <f t="shared" si="5"/>
        <v>29894.184615384616</v>
      </c>
      <c r="U9" s="27">
        <f t="shared" si="6"/>
        <v>-0.15844112197051871</v>
      </c>
      <c r="V9" s="27"/>
      <c r="W9" s="11">
        <f t="shared" si="10"/>
        <v>179.69565217391303</v>
      </c>
      <c r="X9" s="11">
        <f>K9/0.23</f>
        <v>535.61739130434773</v>
      </c>
      <c r="Y9" s="27">
        <f t="shared" si="7"/>
        <v>1.9806919912896199</v>
      </c>
    </row>
    <row r="10" spans="1:26" outlineLevel="1">
      <c r="A10" s="25" t="s">
        <v>15</v>
      </c>
      <c r="B10" s="75">
        <v>28068.496999999999</v>
      </c>
      <c r="C10" s="70">
        <v>28708.191999999999</v>
      </c>
      <c r="D10" s="27">
        <f t="shared" si="0"/>
        <v>2.2790497118531133E-2</v>
      </c>
      <c r="E10" s="27"/>
      <c r="F10" s="26">
        <v>8752.0490000000009</v>
      </c>
      <c r="G10" s="70">
        <v>8861.4719999999998</v>
      </c>
      <c r="H10" s="27">
        <f t="shared" si="1"/>
        <v>1.2502557972424383E-2</v>
      </c>
      <c r="J10" s="26">
        <v>222.13200000000001</v>
      </c>
      <c r="K10" s="70">
        <v>145.76300000000001</v>
      </c>
      <c r="L10" s="27">
        <f t="shared" si="2"/>
        <v>-0.34380008283363045</v>
      </c>
      <c r="N10" s="25" t="s">
        <v>15</v>
      </c>
      <c r="O10" s="11">
        <f t="shared" si="8"/>
        <v>116952.07083333333</v>
      </c>
      <c r="P10" s="11">
        <f t="shared" si="9"/>
        <v>119617.46666666667</v>
      </c>
      <c r="Q10" s="27">
        <f t="shared" si="3"/>
        <v>2.2790497118531226E-2</v>
      </c>
      <c r="R10" s="27"/>
      <c r="S10" s="11">
        <f t="shared" si="4"/>
        <v>33661.726923076923</v>
      </c>
      <c r="T10" s="11">
        <f t="shared" si="5"/>
        <v>34082.584615384614</v>
      </c>
      <c r="U10" s="27">
        <f t="shared" si="6"/>
        <v>1.2502557972424468E-2</v>
      </c>
      <c r="V10" s="27"/>
      <c r="W10" s="11">
        <f t="shared" si="10"/>
        <v>965.7913043478261</v>
      </c>
      <c r="X10" s="11">
        <f t="shared" ref="X10:X18" si="11">K10/0.23</f>
        <v>633.75217391304352</v>
      </c>
      <c r="Y10" s="27">
        <f t="shared" si="7"/>
        <v>-0.34380008283363039</v>
      </c>
    </row>
    <row r="11" spans="1:26">
      <c r="A11" s="25" t="s">
        <v>16</v>
      </c>
      <c r="B11" s="75">
        <v>27153.67</v>
      </c>
      <c r="C11" s="70">
        <v>31308.376</v>
      </c>
      <c r="D11" s="27">
        <f t="shared" si="0"/>
        <v>0.15300716256771194</v>
      </c>
      <c r="E11" s="27"/>
      <c r="F11" s="26">
        <v>8382.52</v>
      </c>
      <c r="G11" s="70">
        <v>11328.237999999999</v>
      </c>
      <c r="H11" s="27">
        <f t="shared" si="1"/>
        <v>0.35141198589445644</v>
      </c>
      <c r="J11" s="26">
        <v>37.015000000000001</v>
      </c>
      <c r="K11" s="70">
        <v>241.90899999999999</v>
      </c>
      <c r="L11" s="27">
        <f t="shared" si="2"/>
        <v>5.5354315817911655</v>
      </c>
      <c r="N11" s="25" t="s">
        <v>16</v>
      </c>
      <c r="O11" s="11">
        <f t="shared" si="8"/>
        <v>113140.29166666666</v>
      </c>
      <c r="P11" s="11">
        <f t="shared" si="9"/>
        <v>130451.56666666667</v>
      </c>
      <c r="Q11" s="27">
        <f t="shared" si="3"/>
        <v>0.15300716256771194</v>
      </c>
      <c r="R11" s="27"/>
      <c r="S11" s="11">
        <f t="shared" si="4"/>
        <v>32240.461538461539</v>
      </c>
      <c r="T11" s="11">
        <f t="shared" si="5"/>
        <v>43570.146153846152</v>
      </c>
      <c r="U11" s="27">
        <f t="shared" si="6"/>
        <v>0.35141198589445649</v>
      </c>
      <c r="V11" s="27"/>
      <c r="W11" s="11">
        <f>J11/0.23</f>
        <v>160.93478260869566</v>
      </c>
      <c r="X11" s="11">
        <f t="shared" si="11"/>
        <v>1051.7782608695652</v>
      </c>
      <c r="Y11" s="27">
        <f t="shared" si="7"/>
        <v>5.5354315817911655</v>
      </c>
    </row>
    <row r="12" spans="1:26" outlineLevel="1">
      <c r="A12" s="25" t="s">
        <v>17</v>
      </c>
      <c r="B12" s="75">
        <v>27420.578000000001</v>
      </c>
      <c r="C12" s="70">
        <v>26992.813999999998</v>
      </c>
      <c r="D12" s="27">
        <f t="shared" si="0"/>
        <v>-1.5600108794205682E-2</v>
      </c>
      <c r="E12" s="27"/>
      <c r="F12" s="26">
        <v>9594.5349999999999</v>
      </c>
      <c r="G12" s="70">
        <v>8165.3770000000004</v>
      </c>
      <c r="H12" s="27">
        <f t="shared" si="1"/>
        <v>-0.14895542097662884</v>
      </c>
      <c r="J12" s="26">
        <v>518.38199999999995</v>
      </c>
      <c r="K12" s="70">
        <v>414.21499999999997</v>
      </c>
      <c r="L12" s="27">
        <f t="shared" si="2"/>
        <v>-0.20094640631812058</v>
      </c>
      <c r="N12" s="25" t="s">
        <v>17</v>
      </c>
      <c r="O12" s="11">
        <f t="shared" si="8"/>
        <v>114252.40833333334</v>
      </c>
      <c r="P12" s="11">
        <f t="shared" si="9"/>
        <v>112470.05833333333</v>
      </c>
      <c r="Q12" s="27">
        <f t="shared" si="3"/>
        <v>-1.5600108794205628E-2</v>
      </c>
      <c r="R12" s="27"/>
      <c r="S12" s="11">
        <f t="shared" si="4"/>
        <v>36902.057692307688</v>
      </c>
      <c r="T12" s="11">
        <f t="shared" si="5"/>
        <v>31405.296153846153</v>
      </c>
      <c r="U12" s="27">
        <f t="shared" si="6"/>
        <v>-0.14895542097662881</v>
      </c>
      <c r="V12" s="27"/>
      <c r="W12" s="11">
        <f t="shared" si="10"/>
        <v>2253.8347826086951</v>
      </c>
      <c r="X12" s="11">
        <f t="shared" si="11"/>
        <v>1800.9347826086955</v>
      </c>
      <c r="Y12" s="27">
        <f t="shared" si="7"/>
        <v>-0.2009464063181205</v>
      </c>
      <c r="Z12" s="28"/>
    </row>
    <row r="13" spans="1:26" outlineLevel="1">
      <c r="A13" s="25" t="s">
        <v>18</v>
      </c>
      <c r="B13" s="75">
        <v>27951.005000000001</v>
      </c>
      <c r="C13" s="70">
        <v>28770.514999999999</v>
      </c>
      <c r="D13" s="27">
        <f t="shared" si="0"/>
        <v>2.9319518206948135E-2</v>
      </c>
      <c r="E13" s="27"/>
      <c r="F13" s="26">
        <v>8037.0389999999998</v>
      </c>
      <c r="G13" s="70">
        <v>9650.8960000000006</v>
      </c>
      <c r="H13" s="27">
        <f t="shared" si="1"/>
        <v>0.2008024348270552</v>
      </c>
      <c r="J13" s="26">
        <v>105.48</v>
      </c>
      <c r="K13" s="70">
        <v>114.432</v>
      </c>
      <c r="L13" s="27">
        <f t="shared" si="2"/>
        <v>8.486916951080771E-2</v>
      </c>
      <c r="N13" s="25" t="s">
        <v>18</v>
      </c>
      <c r="O13" s="11">
        <f t="shared" si="8"/>
        <v>116462.52083333334</v>
      </c>
      <c r="P13" s="11">
        <f t="shared" si="9"/>
        <v>119877.14583333333</v>
      </c>
      <c r="Q13" s="27">
        <f t="shared" si="3"/>
        <v>2.9319518206948066E-2</v>
      </c>
      <c r="R13" s="27"/>
      <c r="S13" s="11">
        <f t="shared" si="4"/>
        <v>30911.688461538459</v>
      </c>
      <c r="T13" s="11">
        <f t="shared" si="5"/>
        <v>37118.830769230772</v>
      </c>
      <c r="U13" s="27">
        <f t="shared" si="6"/>
        <v>0.20080243482705529</v>
      </c>
      <c r="V13" s="27"/>
      <c r="W13" s="11">
        <f t="shared" si="10"/>
        <v>458.60869565217394</v>
      </c>
      <c r="X13" s="11">
        <f t="shared" si="11"/>
        <v>497.53043478260867</v>
      </c>
      <c r="Y13" s="27">
        <f t="shared" si="7"/>
        <v>8.4869169510807613E-2</v>
      </c>
      <c r="Z13" s="28"/>
    </row>
    <row r="14" spans="1:26">
      <c r="A14" s="25" t="s">
        <v>19</v>
      </c>
      <c r="B14" s="75">
        <v>26496.18</v>
      </c>
      <c r="C14" s="70">
        <v>26818.82</v>
      </c>
      <c r="D14" s="27">
        <f t="shared" si="0"/>
        <v>1.2176849643986394E-2</v>
      </c>
      <c r="E14" s="27"/>
      <c r="F14" s="26">
        <v>8595.44</v>
      </c>
      <c r="G14" s="70">
        <v>8473.8960000000006</v>
      </c>
      <c r="H14" s="27">
        <f t="shared" si="1"/>
        <v>-1.4140521020448035E-2</v>
      </c>
      <c r="J14" s="26">
        <v>149.97800000000001</v>
      </c>
      <c r="K14" s="70">
        <v>148.559</v>
      </c>
      <c r="L14" s="27">
        <f t="shared" si="2"/>
        <v>-9.4613876701917024E-3</v>
      </c>
      <c r="N14" s="25" t="s">
        <v>19</v>
      </c>
      <c r="O14" s="11">
        <f t="shared" si="8"/>
        <v>110400.75</v>
      </c>
      <c r="P14" s="11">
        <f t="shared" si="9"/>
        <v>111745.08333333334</v>
      </c>
      <c r="Q14" s="27">
        <f t="shared" si="3"/>
        <v>1.2176849643986505E-2</v>
      </c>
      <c r="R14" s="27"/>
      <c r="S14" s="11">
        <f t="shared" si="4"/>
        <v>33059.384615384617</v>
      </c>
      <c r="T14" s="11">
        <f t="shared" si="5"/>
        <v>32591.907692307694</v>
      </c>
      <c r="U14" s="27">
        <f t="shared" si="6"/>
        <v>-1.4140521020448061E-2</v>
      </c>
      <c r="V14" s="27"/>
      <c r="W14" s="11">
        <f t="shared" si="10"/>
        <v>652.07826086956527</v>
      </c>
      <c r="X14" s="11">
        <f t="shared" si="11"/>
        <v>645.90869565217383</v>
      </c>
      <c r="Y14" s="27">
        <f t="shared" si="7"/>
        <v>-9.4613876701918308E-3</v>
      </c>
      <c r="Z14" s="28"/>
    </row>
    <row r="15" spans="1:26">
      <c r="A15" s="25" t="s">
        <v>20</v>
      </c>
      <c r="B15" s="75">
        <v>26441.276000000002</v>
      </c>
      <c r="C15" s="70">
        <v>24190.940999999999</v>
      </c>
      <c r="D15" s="27">
        <f t="shared" si="0"/>
        <v>-8.5106898774476789E-2</v>
      </c>
      <c r="E15" s="27"/>
      <c r="F15" s="26">
        <v>9289.85</v>
      </c>
      <c r="G15" s="70">
        <v>7724.3069999999998</v>
      </c>
      <c r="H15" s="27">
        <f t="shared" si="1"/>
        <v>-0.16852188140820362</v>
      </c>
      <c r="J15" s="26">
        <v>150.04300000000001</v>
      </c>
      <c r="K15" s="70">
        <v>149.36699999999999</v>
      </c>
      <c r="L15" s="27">
        <f t="shared" si="2"/>
        <v>-4.5053751257973784E-3</v>
      </c>
      <c r="N15" s="25" t="s">
        <v>20</v>
      </c>
      <c r="O15" s="11">
        <f t="shared" si="8"/>
        <v>110171.98333333334</v>
      </c>
      <c r="P15" s="11">
        <f t="shared" si="9"/>
        <v>100795.58749999999</v>
      </c>
      <c r="Q15" s="27">
        <f t="shared" si="3"/>
        <v>-8.5106898774476775E-2</v>
      </c>
      <c r="R15" s="27"/>
      <c r="S15" s="11">
        <f t="shared" si="4"/>
        <v>35730.192307692305</v>
      </c>
      <c r="T15" s="11">
        <f t="shared" si="5"/>
        <v>29708.873076923075</v>
      </c>
      <c r="U15" s="27">
        <f t="shared" si="6"/>
        <v>-0.16852188140820357</v>
      </c>
      <c r="V15" s="27"/>
      <c r="W15" s="11">
        <f t="shared" si="10"/>
        <v>652.3608695652174</v>
      </c>
      <c r="X15" s="11">
        <f t="shared" si="11"/>
        <v>649.42173913043473</v>
      </c>
      <c r="Y15" s="27">
        <f t="shared" si="7"/>
        <v>-4.5053751257973637E-3</v>
      </c>
    </row>
    <row r="16" spans="1:26">
      <c r="A16" s="25" t="s">
        <v>21</v>
      </c>
      <c r="B16" s="75">
        <v>26106.138999999999</v>
      </c>
      <c r="C16" s="70">
        <v>28471.589</v>
      </c>
      <c r="D16" s="27">
        <f t="shared" si="0"/>
        <v>9.0608956000732266E-2</v>
      </c>
      <c r="E16" s="27"/>
      <c r="F16" s="26">
        <v>8406.3119999999999</v>
      </c>
      <c r="G16" s="70">
        <v>8748.6419999999998</v>
      </c>
      <c r="H16" s="27">
        <f t="shared" si="1"/>
        <v>4.0722971024630059E-2</v>
      </c>
      <c r="J16" s="26">
        <v>112.96299999999999</v>
      </c>
      <c r="K16" s="70">
        <v>144.28399999999999</v>
      </c>
      <c r="L16" s="27">
        <f t="shared" si="2"/>
        <v>0.27726777794499086</v>
      </c>
      <c r="N16" s="25" t="s">
        <v>21</v>
      </c>
      <c r="O16" s="11">
        <f t="shared" si="8"/>
        <v>108775.57916666666</v>
      </c>
      <c r="P16" s="11">
        <f t="shared" si="9"/>
        <v>118631.62083333333</v>
      </c>
      <c r="Q16" s="27">
        <f t="shared" si="3"/>
        <v>9.0608956000732294E-2</v>
      </c>
      <c r="R16" s="27"/>
      <c r="S16" s="11">
        <f t="shared" si="4"/>
        <v>32331.969230769228</v>
      </c>
      <c r="T16" s="11">
        <f t="shared" si="5"/>
        <v>33648.623076923075</v>
      </c>
      <c r="U16" s="27">
        <f t="shared" si="6"/>
        <v>4.0722971024630114E-2</v>
      </c>
      <c r="V16" s="27"/>
      <c r="W16" s="11">
        <f t="shared" si="10"/>
        <v>491.14347826086953</v>
      </c>
      <c r="X16" s="11">
        <f t="shared" si="11"/>
        <v>627.32173913043471</v>
      </c>
      <c r="Y16" s="27">
        <f t="shared" si="7"/>
        <v>0.2772677779449908</v>
      </c>
    </row>
    <row r="17" spans="1:27" ht="12" customHeight="1">
      <c r="A17" s="25" t="s">
        <v>22</v>
      </c>
      <c r="B17" s="75">
        <v>31482.317999999999</v>
      </c>
      <c r="C17" s="70">
        <v>32860.915000000001</v>
      </c>
      <c r="D17" s="27">
        <f t="shared" si="0"/>
        <v>4.3789564669285207E-2</v>
      </c>
      <c r="E17" s="27"/>
      <c r="F17" s="26">
        <v>11445.598</v>
      </c>
      <c r="G17" s="70">
        <v>11246.038</v>
      </c>
      <c r="H17" s="27">
        <f t="shared" si="1"/>
        <v>-1.7435524120277462E-2</v>
      </c>
      <c r="J17" s="26">
        <v>266.95800000000003</v>
      </c>
      <c r="K17" s="70">
        <v>145.63200000000001</v>
      </c>
      <c r="L17" s="27">
        <f t="shared" si="2"/>
        <v>-0.4544759849864024</v>
      </c>
      <c r="N17" s="25" t="s">
        <v>22</v>
      </c>
      <c r="O17" s="11">
        <f t="shared" si="8"/>
        <v>131176.32500000001</v>
      </c>
      <c r="P17" s="11">
        <f t="shared" si="9"/>
        <v>136920.47916666669</v>
      </c>
      <c r="Q17" s="27">
        <f t="shared" si="3"/>
        <v>4.3789564669285207E-2</v>
      </c>
      <c r="R17" s="27"/>
      <c r="S17" s="11">
        <f t="shared" si="4"/>
        <v>44021.530769230769</v>
      </c>
      <c r="T17" s="11">
        <f t="shared" si="5"/>
        <v>43253.992307692308</v>
      </c>
      <c r="U17" s="27">
        <f t="shared" si="6"/>
        <v>-1.7435524120277494E-2</v>
      </c>
      <c r="V17" s="27"/>
      <c r="W17" s="11">
        <f t="shared" si="10"/>
        <v>1160.6869565217391</v>
      </c>
      <c r="X17" s="11">
        <f t="shared" si="11"/>
        <v>633.18260869565222</v>
      </c>
      <c r="Y17" s="27">
        <f t="shared" si="7"/>
        <v>-0.45447598498640235</v>
      </c>
    </row>
    <row r="18" spans="1:27" ht="12" customHeight="1">
      <c r="A18" s="25" t="s">
        <v>23</v>
      </c>
      <c r="B18" s="76">
        <v>31201.314999999999</v>
      </c>
      <c r="C18" s="87">
        <v>26382.451000000001</v>
      </c>
      <c r="D18" s="30">
        <f t="shared" si="0"/>
        <v>-0.15444425980122947</v>
      </c>
      <c r="F18" s="29">
        <v>9484.7880000000005</v>
      </c>
      <c r="G18" s="87">
        <v>9168.7900000000009</v>
      </c>
      <c r="H18" s="30">
        <f t="shared" si="1"/>
        <v>-3.3316295525002732E-2</v>
      </c>
      <c r="J18" s="29">
        <v>22.498000000000001</v>
      </c>
      <c r="K18" s="87">
        <v>147.5</v>
      </c>
      <c r="L18" s="30">
        <f t="shared" si="2"/>
        <v>5.5561383234065245</v>
      </c>
      <c r="N18" s="25" t="s">
        <v>23</v>
      </c>
      <c r="O18" s="11">
        <f t="shared" si="8"/>
        <v>130005.47916666667</v>
      </c>
      <c r="P18" s="11">
        <f t="shared" si="9"/>
        <v>109926.87916666668</v>
      </c>
      <c r="Q18" s="30">
        <f t="shared" si="3"/>
        <v>-0.15444425980122947</v>
      </c>
      <c r="R18" s="27"/>
      <c r="S18" s="31">
        <f t="shared" si="4"/>
        <v>36479.953846153847</v>
      </c>
      <c r="T18" s="31">
        <f t="shared" si="5"/>
        <v>35264.576923076922</v>
      </c>
      <c r="U18" s="30">
        <f t="shared" si="6"/>
        <v>-3.3316295525002822E-2</v>
      </c>
      <c r="V18" s="27"/>
      <c r="W18" s="31">
        <f t="shared" si="10"/>
        <v>97.817391304347822</v>
      </c>
      <c r="X18" s="31">
        <f t="shared" si="11"/>
        <v>641.30434782608688</v>
      </c>
      <c r="Y18" s="30">
        <f t="shared" si="7"/>
        <v>5.5561383234065254</v>
      </c>
    </row>
    <row r="19" spans="1:27" ht="15.75" customHeight="1" outlineLevel="3">
      <c r="A19" s="86"/>
      <c r="B19" s="8" t="s">
        <v>55</v>
      </c>
      <c r="C19" s="8"/>
      <c r="D19" s="27"/>
      <c r="F19" s="8" t="s">
        <v>56</v>
      </c>
      <c r="G19" s="8"/>
      <c r="H19" s="27"/>
      <c r="J19" s="8" t="s">
        <v>57</v>
      </c>
      <c r="K19" s="8"/>
      <c r="L19" s="27"/>
      <c r="N19" s="86"/>
      <c r="O19" s="88" t="s">
        <v>55</v>
      </c>
      <c r="P19" s="88"/>
      <c r="Q19" s="27"/>
      <c r="R19" s="27"/>
      <c r="S19" s="11" t="s">
        <v>58</v>
      </c>
      <c r="T19" s="32"/>
      <c r="U19" s="27"/>
      <c r="V19" s="27"/>
      <c r="W19" s="11" t="s">
        <v>57</v>
      </c>
      <c r="X19" s="32"/>
      <c r="Y19" s="27"/>
    </row>
    <row r="20" spans="1:27" ht="15.75" customHeight="1" outlineLevel="3">
      <c r="A20" s="25" t="s">
        <v>26</v>
      </c>
      <c r="B20" s="90" t="s">
        <v>71</v>
      </c>
      <c r="C20" s="90" t="s">
        <v>76</v>
      </c>
      <c r="D20" s="27" t="s">
        <v>42</v>
      </c>
      <c r="F20" s="77" t="str">
        <f>B20</f>
        <v>FY 18</v>
      </c>
      <c r="G20" s="77" t="str">
        <f>C20</f>
        <v>FY 19</v>
      </c>
      <c r="H20" s="27" t="s">
        <v>42</v>
      </c>
      <c r="I20" s="8"/>
      <c r="J20" s="77" t="str">
        <f>F20</f>
        <v>FY 18</v>
      </c>
      <c r="K20" s="77" t="str">
        <f>G20</f>
        <v>FY 19</v>
      </c>
      <c r="L20" s="8" t="s">
        <v>43</v>
      </c>
      <c r="M20" s="8"/>
      <c r="N20" s="25" t="s">
        <v>24</v>
      </c>
      <c r="O20" s="77" t="str">
        <f>B20</f>
        <v>FY 18</v>
      </c>
      <c r="P20" s="77" t="str">
        <f>C20</f>
        <v>FY 19</v>
      </c>
      <c r="Q20" s="27" t="s">
        <v>44</v>
      </c>
      <c r="R20" s="27"/>
      <c r="S20" s="77" t="str">
        <f>B20</f>
        <v>FY 18</v>
      </c>
      <c r="T20" s="77" t="str">
        <f>C20</f>
        <v>FY 19</v>
      </c>
      <c r="U20" s="27" t="s">
        <v>44</v>
      </c>
      <c r="V20" s="27"/>
      <c r="W20" s="13" t="str">
        <f>B20</f>
        <v>FY 18</v>
      </c>
      <c r="X20" s="69" t="str">
        <f>C20</f>
        <v>FY 19</v>
      </c>
      <c r="Y20" s="27" t="s">
        <v>50</v>
      </c>
    </row>
    <row r="21" spans="1:27" ht="12.95" customHeight="1" collapsed="1">
      <c r="A21" s="25" t="s">
        <v>24</v>
      </c>
      <c r="B21" s="14">
        <f>SUM(B7:B18)</f>
        <v>343021.32</v>
      </c>
      <c r="C21" s="14">
        <f>SUM(C7:C18)</f>
        <v>340204.79199999996</v>
      </c>
      <c r="D21" s="27">
        <f>(C21-B21)/B21</f>
        <v>-8.2109415239847178E-3</v>
      </c>
      <c r="E21" s="33"/>
      <c r="F21" s="14">
        <f>SUM(F7:F18)</f>
        <v>109665.372</v>
      </c>
      <c r="G21" s="14">
        <f>SUM(G7:G18)</f>
        <v>110445.34599999999</v>
      </c>
      <c r="H21" s="27">
        <f>(G21-F21)/F21</f>
        <v>7.112308888169252E-3</v>
      </c>
      <c r="J21" s="14">
        <f>SUM(J7:J18)</f>
        <v>2002.4640000000002</v>
      </c>
      <c r="K21" s="14">
        <f>SUM(K7:K18)</f>
        <v>2040.018</v>
      </c>
      <c r="L21" s="27">
        <f>(K21-J21)/J21</f>
        <v>1.8753895201112158E-2</v>
      </c>
      <c r="N21" s="25" t="str">
        <f>A21</f>
        <v>FYTD</v>
      </c>
      <c r="O21" s="28">
        <f>SUM(O7:O18)</f>
        <v>1429255.5</v>
      </c>
      <c r="P21" s="11">
        <f>SUM(P7:P18)</f>
        <v>1417519.9666666668</v>
      </c>
      <c r="Q21" s="27">
        <f>(P21-O21)/O21</f>
        <v>-8.2109415239844871E-3</v>
      </c>
      <c r="R21" s="27"/>
      <c r="S21" s="34">
        <f>SUM(S7:S18)</f>
        <v>421789.89230769227</v>
      </c>
      <c r="T21" s="11">
        <f>SUM(T7:T18)</f>
        <v>424789.79230769229</v>
      </c>
      <c r="U21" s="27">
        <f>(T21-S21)/S21</f>
        <v>7.1123088881694229E-3</v>
      </c>
      <c r="V21" s="27"/>
      <c r="W21" s="34">
        <f>SUM(W7:W18)</f>
        <v>8706.3652173913033</v>
      </c>
      <c r="X21" s="11">
        <f>SUM(X7:X18)</f>
        <v>8869.6434782608667</v>
      </c>
      <c r="Y21" s="27">
        <f>(X21-W21)/W21</f>
        <v>1.8753895201112022E-2</v>
      </c>
    </row>
    <row r="22" spans="1:27">
      <c r="A22" s="25" t="s">
        <v>25</v>
      </c>
      <c r="B22" s="27">
        <f>B21/B23</f>
        <v>1</v>
      </c>
      <c r="C22" s="27">
        <f>C21/C23</f>
        <v>1</v>
      </c>
      <c r="D22" s="35" t="s">
        <v>41</v>
      </c>
      <c r="F22" s="27">
        <f>F21/F23</f>
        <v>1</v>
      </c>
      <c r="G22" s="27">
        <f>G21/G23</f>
        <v>1</v>
      </c>
      <c r="H22" s="35" t="s">
        <v>41</v>
      </c>
      <c r="J22" s="27">
        <f>J21/J23</f>
        <v>1</v>
      </c>
      <c r="K22" s="27">
        <f>K21/K23</f>
        <v>1</v>
      </c>
      <c r="L22" s="36" t="s">
        <v>41</v>
      </c>
      <c r="N22" s="25" t="str">
        <f>A22</f>
        <v>% total</v>
      </c>
      <c r="O22" s="27">
        <f>O21/O23</f>
        <v>1</v>
      </c>
      <c r="P22" s="27">
        <f>P21/P23</f>
        <v>1</v>
      </c>
      <c r="Q22" s="37" t="s">
        <v>41</v>
      </c>
      <c r="S22" s="27">
        <f>S21/S23</f>
        <v>1</v>
      </c>
      <c r="T22" s="27">
        <f>T21/T23</f>
        <v>1</v>
      </c>
      <c r="U22" s="36" t="s">
        <v>41</v>
      </c>
      <c r="W22" s="27">
        <f>W21/W23</f>
        <v>1</v>
      </c>
      <c r="X22" s="27">
        <f>X21/X23</f>
        <v>1</v>
      </c>
      <c r="Y22" s="36" t="s">
        <v>41</v>
      </c>
    </row>
    <row r="23" spans="1:27">
      <c r="A23" s="25" t="s">
        <v>68</v>
      </c>
      <c r="B23" s="14">
        <f>SUM(B7:B18)</f>
        <v>343021.32</v>
      </c>
      <c r="C23" s="14">
        <f>SUM(C7:C18)</f>
        <v>340204.79199999996</v>
      </c>
      <c r="D23" s="27">
        <f>(C23-B23)/B23</f>
        <v>-8.2109415239847178E-3</v>
      </c>
      <c r="E23" s="33"/>
      <c r="F23" s="14">
        <f>SUM(F7:F18)</f>
        <v>109665.372</v>
      </c>
      <c r="G23" s="14">
        <f>SUM(G7:G18)</f>
        <v>110445.34599999999</v>
      </c>
      <c r="H23" s="27">
        <f>(G23-F23)/F23</f>
        <v>7.112308888169252E-3</v>
      </c>
      <c r="I23" s="33"/>
      <c r="J23" s="14">
        <f>SUM(J7:J18)</f>
        <v>2002.4640000000002</v>
      </c>
      <c r="K23" s="14">
        <f>SUM(K7:K18)</f>
        <v>2040.018</v>
      </c>
      <c r="L23" s="27">
        <f>(K23-J23)/J23</f>
        <v>1.8753895201112158E-2</v>
      </c>
      <c r="N23" s="25" t="str">
        <f>A23</f>
        <v>FYTotal</v>
      </c>
      <c r="O23" s="11">
        <f>SUM(O7:O18)</f>
        <v>1429255.5</v>
      </c>
      <c r="P23" s="11">
        <f>SUM(P7:P18)</f>
        <v>1417519.9666666668</v>
      </c>
      <c r="Q23" s="27">
        <f>(P23-O23)/O23</f>
        <v>-8.2109415239844871E-3</v>
      </c>
      <c r="R23" s="27"/>
      <c r="S23" s="11">
        <f>SUM(S7:S18)</f>
        <v>421789.89230769227</v>
      </c>
      <c r="T23" s="11">
        <f>SUM(T7:T18)</f>
        <v>424789.79230769229</v>
      </c>
      <c r="U23" s="27">
        <f>(T23-S23)/S23</f>
        <v>7.1123088881694229E-3</v>
      </c>
      <c r="V23" s="27"/>
      <c r="W23" s="11">
        <f>SUM(W7:W18)</f>
        <v>8706.3652173913033</v>
      </c>
      <c r="X23" s="11">
        <f>SUM(X7:X18)</f>
        <v>8869.6434782608667</v>
      </c>
      <c r="Y23" s="27">
        <f>(X23-W23)/W23</f>
        <v>1.8753895201112022E-2</v>
      </c>
    </row>
    <row r="24" spans="1:27">
      <c r="A24" s="25"/>
      <c r="B24" s="11"/>
      <c r="C24" s="38"/>
      <c r="D24" s="39"/>
      <c r="F24" s="11"/>
      <c r="G24" s="38"/>
      <c r="H24" s="39"/>
      <c r="J24" s="11"/>
      <c r="K24" s="38"/>
      <c r="L24" s="39"/>
      <c r="N24" s="25"/>
      <c r="O24" s="40"/>
      <c r="P24" s="11"/>
      <c r="Q24" s="11"/>
      <c r="R24" s="11"/>
      <c r="S24" s="11"/>
      <c r="T24" s="11"/>
      <c r="U24" s="11"/>
      <c r="V24" s="11"/>
      <c r="W24" s="11"/>
      <c r="X24" s="34"/>
      <c r="Y24" s="41"/>
      <c r="Z24" s="39"/>
    </row>
    <row r="25" spans="1:27">
      <c r="A25" s="36"/>
      <c r="B25" s="18"/>
      <c r="C25" s="19" t="s">
        <v>27</v>
      </c>
      <c r="D25" s="42"/>
      <c r="F25" s="43"/>
      <c r="G25" s="19" t="s">
        <v>28</v>
      </c>
      <c r="H25" s="44"/>
      <c r="I25" s="45"/>
      <c r="J25" s="43"/>
      <c r="K25" s="19" t="str">
        <f>C6&amp; " Distribution "</f>
        <v xml:space="preserve">FY 19 Distribution </v>
      </c>
      <c r="L25" s="44"/>
      <c r="N25" s="25"/>
      <c r="O25" s="43"/>
      <c r="P25" s="19" t="str">
        <f>C25</f>
        <v>Interstate</v>
      </c>
      <c r="Q25" s="42"/>
      <c r="S25" s="43"/>
      <c r="T25" s="46" t="str">
        <f>G25</f>
        <v xml:space="preserve">      Trip Permits</v>
      </c>
      <c r="U25" s="42" t="s">
        <v>29</v>
      </c>
      <c r="V25" s="47"/>
      <c r="W25" s="43"/>
      <c r="X25" s="19" t="str">
        <f>G46</f>
        <v>Total Refunds</v>
      </c>
      <c r="Y25" s="17"/>
      <c r="Z25" s="20"/>
    </row>
    <row r="26" spans="1:27">
      <c r="A26" s="21" t="s">
        <v>10</v>
      </c>
      <c r="B26" s="23" t="str">
        <f>B6</f>
        <v>FY 18</v>
      </c>
      <c r="C26" s="21" t="str">
        <f>C6</f>
        <v>FY 19</v>
      </c>
      <c r="D26" s="22" t="str">
        <f>D6</f>
        <v>% chg</v>
      </c>
      <c r="F26" s="23" t="str">
        <f>B6</f>
        <v>FY 18</v>
      </c>
      <c r="G26" s="21" t="str">
        <f>C6</f>
        <v>FY 19</v>
      </c>
      <c r="H26" s="22" t="str">
        <f>H6</f>
        <v>% chg</v>
      </c>
      <c r="I26" s="24"/>
      <c r="J26" s="23" t="s">
        <v>30</v>
      </c>
      <c r="K26" s="21" t="s">
        <v>31</v>
      </c>
      <c r="L26" s="22" t="s">
        <v>32</v>
      </c>
      <c r="N26" s="21" t="s">
        <v>10</v>
      </c>
      <c r="O26" s="48" t="str">
        <f>B6</f>
        <v>FY 18</v>
      </c>
      <c r="P26" s="21" t="str">
        <f>C6</f>
        <v>FY 19</v>
      </c>
      <c r="Q26" s="22" t="str">
        <f>Q6</f>
        <v>% chg</v>
      </c>
      <c r="S26" s="48" t="str">
        <f>B6</f>
        <v>FY 18</v>
      </c>
      <c r="T26" s="21" t="str">
        <f>C6</f>
        <v>FY 19</v>
      </c>
      <c r="U26" s="22" t="str">
        <f>U6</f>
        <v>% chg</v>
      </c>
      <c r="V26" s="24"/>
      <c r="W26" s="23" t="str">
        <f>B6</f>
        <v>FY 18</v>
      </c>
      <c r="X26" s="21" t="str">
        <f>C6</f>
        <v>FY 19</v>
      </c>
      <c r="Y26" s="22" t="str">
        <f>Y6</f>
        <v>% chg</v>
      </c>
      <c r="Z26" s="20"/>
      <c r="AA26" s="20"/>
    </row>
    <row r="27" spans="1:27">
      <c r="A27" s="25" t="s">
        <v>12</v>
      </c>
      <c r="B27" s="49">
        <v>0</v>
      </c>
      <c r="C27" s="49">
        <v>0</v>
      </c>
      <c r="D27" s="27" t="e">
        <f t="shared" ref="D27:D38" si="12">(C27-B27)/B27</f>
        <v>#DIV/0!</v>
      </c>
      <c r="F27" s="26">
        <v>28.960999999999999</v>
      </c>
      <c r="G27" s="26">
        <v>31.617999999999999</v>
      </c>
      <c r="H27" s="27">
        <f t="shared" ref="H27:H38" si="13">(G27-F27)/F27</f>
        <v>9.1744069610855988E-2</v>
      </c>
      <c r="I27" s="33"/>
      <c r="J27" s="26">
        <v>0</v>
      </c>
      <c r="K27" s="26">
        <v>25010.878000000001</v>
      </c>
      <c r="L27" s="26">
        <v>12673.133</v>
      </c>
      <c r="N27" s="25" t="s">
        <v>12</v>
      </c>
      <c r="O27" s="11">
        <f>B27/0.26</f>
        <v>0</v>
      </c>
      <c r="P27" s="11">
        <f>C27/0.26</f>
        <v>0</v>
      </c>
      <c r="Q27" s="27" t="e">
        <f t="shared" ref="Q27:Q38" si="14">(P27-O27)/O27</f>
        <v>#DIV/0!</v>
      </c>
      <c r="S27" s="11">
        <f t="shared" ref="S27:T29" si="15">F27/0.013</f>
        <v>2227.7692307692309</v>
      </c>
      <c r="T27" s="11">
        <f t="shared" si="15"/>
        <v>2432.1538461538462</v>
      </c>
      <c r="U27" s="27">
        <f t="shared" ref="U27:U38" si="16">(T27-S27)/S27</f>
        <v>9.1744069610855905E-2</v>
      </c>
      <c r="V27" s="27"/>
      <c r="W27" s="11">
        <f>(B70/0.24)+(F70/0.26)+(J70/0.23)</f>
        <v>372.55865384615385</v>
      </c>
      <c r="X27" s="11">
        <f>(C70/0.24)+(G70/0.26)+(K70/0.23)</f>
        <v>1049.5891025641026</v>
      </c>
      <c r="Y27" s="27">
        <f t="shared" ref="Y27:Y38" si="17">(X27-W27)/W27</f>
        <v>1.8172452625339497</v>
      </c>
      <c r="Z27" s="20"/>
      <c r="AA27" s="20"/>
    </row>
    <row r="28" spans="1:27">
      <c r="A28" s="25" t="s">
        <v>13</v>
      </c>
      <c r="B28" s="49">
        <v>0</v>
      </c>
      <c r="C28" s="49">
        <v>0</v>
      </c>
      <c r="D28" s="27" t="e">
        <f t="shared" si="12"/>
        <v>#DIV/0!</v>
      </c>
      <c r="F28" s="26">
        <v>26.765000000000001</v>
      </c>
      <c r="G28" s="26">
        <v>27.931999999999999</v>
      </c>
      <c r="H28" s="27">
        <f t="shared" si="13"/>
        <v>4.3601718662432204E-2</v>
      </c>
      <c r="I28" s="33"/>
      <c r="J28" s="26">
        <v>0</v>
      </c>
      <c r="K28" s="26">
        <v>26701.091</v>
      </c>
      <c r="L28" s="26">
        <v>13529.572</v>
      </c>
      <c r="N28" s="25" t="s">
        <v>13</v>
      </c>
      <c r="O28" s="11">
        <f t="shared" ref="O28:O38" si="18">B28/0.26</f>
        <v>0</v>
      </c>
      <c r="P28" s="11">
        <f>C28/0.26</f>
        <v>0</v>
      </c>
      <c r="Q28" s="27" t="e">
        <f t="shared" si="14"/>
        <v>#DIV/0!</v>
      </c>
      <c r="S28" s="11">
        <f t="shared" si="15"/>
        <v>2058.8461538461538</v>
      </c>
      <c r="T28" s="11">
        <f t="shared" si="15"/>
        <v>2148.6153846153848</v>
      </c>
      <c r="U28" s="27">
        <f t="shared" si="16"/>
        <v>4.3601718662432364E-2</v>
      </c>
      <c r="V28" s="27"/>
      <c r="W28" s="11">
        <f t="shared" ref="W28:X38" si="19">(B71/0.24)+(F71/0.26)+(J71/0.23)</f>
        <v>1732.1307692307691</v>
      </c>
      <c r="X28" s="11">
        <f t="shared" si="19"/>
        <v>1627.7080128205127</v>
      </c>
      <c r="Y28" s="27">
        <f t="shared" si="17"/>
        <v>-6.0285723379089926E-2</v>
      </c>
      <c r="Z28" s="24"/>
      <c r="AA28" s="20"/>
    </row>
    <row r="29" spans="1:27">
      <c r="A29" s="25" t="s">
        <v>14</v>
      </c>
      <c r="B29" s="49">
        <v>649.86900000000003</v>
      </c>
      <c r="C29" s="49">
        <v>4066.489</v>
      </c>
      <c r="D29" s="27">
        <f t="shared" si="12"/>
        <v>5.2573980294490115</v>
      </c>
      <c r="F29" s="26">
        <v>33.243000000000002</v>
      </c>
      <c r="G29" s="26">
        <v>30.542999999999999</v>
      </c>
      <c r="H29" s="27">
        <f t="shared" si="13"/>
        <v>-8.1220106488584146E-2</v>
      </c>
      <c r="I29" s="33"/>
      <c r="J29" s="26">
        <v>0</v>
      </c>
      <c r="K29" s="26">
        <v>25632.168000000001</v>
      </c>
      <c r="L29" s="26">
        <v>12987.944</v>
      </c>
      <c r="N29" s="25" t="s">
        <v>14</v>
      </c>
      <c r="O29" s="11">
        <f t="shared" si="18"/>
        <v>2499.4961538461539</v>
      </c>
      <c r="P29" s="11">
        <f t="shared" ref="P29:P38" si="20">C29/0.26</f>
        <v>15640.342307692308</v>
      </c>
      <c r="Q29" s="27">
        <f t="shared" si="14"/>
        <v>5.2573980294490124</v>
      </c>
      <c r="S29" s="11">
        <f t="shared" si="15"/>
        <v>2557.1538461538466</v>
      </c>
      <c r="T29" s="11">
        <f t="shared" si="15"/>
        <v>2349.4615384615386</v>
      </c>
      <c r="U29" s="27">
        <f t="shared" si="16"/>
        <v>-8.1220106488584201E-2</v>
      </c>
      <c r="V29" s="27"/>
      <c r="W29" s="11">
        <f>(B72/0.24)+(F72/0.26)+(J72/0.23)</f>
        <v>522.05705128205125</v>
      </c>
      <c r="X29" s="11">
        <f t="shared" si="19"/>
        <v>630.9003205128206</v>
      </c>
      <c r="Y29" s="27">
        <f t="shared" si="17"/>
        <v>0.20848922347370941</v>
      </c>
      <c r="Z29" s="32"/>
      <c r="AA29" s="20"/>
    </row>
    <row r="30" spans="1:27">
      <c r="A30" s="25" t="s">
        <v>15</v>
      </c>
      <c r="B30" s="49">
        <v>0</v>
      </c>
      <c r="C30" s="49">
        <v>0</v>
      </c>
      <c r="D30" s="27" t="e">
        <f t="shared" si="12"/>
        <v>#DIV/0!</v>
      </c>
      <c r="F30" s="26">
        <v>28.337</v>
      </c>
      <c r="G30" s="26">
        <v>27.556000000000001</v>
      </c>
      <c r="H30" s="27">
        <f t="shared" si="13"/>
        <v>-2.756113914669862E-2</v>
      </c>
      <c r="I30" s="33"/>
      <c r="J30" s="26">
        <v>0</v>
      </c>
      <c r="K30" s="26">
        <v>24875.174999999999</v>
      </c>
      <c r="L30" s="26">
        <v>12604.370999999999</v>
      </c>
      <c r="N30" s="25" t="s">
        <v>15</v>
      </c>
      <c r="O30" s="11">
        <f t="shared" si="18"/>
        <v>0</v>
      </c>
      <c r="P30" s="11">
        <f t="shared" si="20"/>
        <v>0</v>
      </c>
      <c r="Q30" s="27" t="e">
        <f t="shared" si="14"/>
        <v>#DIV/0!</v>
      </c>
      <c r="S30" s="11">
        <f t="shared" ref="S30:T38" si="21">F30/0.013</f>
        <v>2179.7692307692309</v>
      </c>
      <c r="T30" s="11">
        <f t="shared" si="21"/>
        <v>2119.6923076923081</v>
      </c>
      <c r="U30" s="27">
        <f t="shared" si="16"/>
        <v>-2.7561139146698565E-2</v>
      </c>
      <c r="V30" s="27"/>
      <c r="W30" s="11">
        <f>(B73/0.24)+(F73/0.26)+(J73/0.23)</f>
        <v>666.63205128205118</v>
      </c>
      <c r="X30" s="11">
        <f>(C73/0.24)+(G73/0.26)+(K73/0.23)</f>
        <v>1127.4525641025641</v>
      </c>
      <c r="Y30" s="27">
        <f t="shared" si="17"/>
        <v>0.69126666192283093</v>
      </c>
      <c r="Z30" s="32"/>
      <c r="AA30" s="20"/>
    </row>
    <row r="31" spans="1:27">
      <c r="A31" s="25" t="s">
        <v>16</v>
      </c>
      <c r="B31" s="49">
        <v>0</v>
      </c>
      <c r="C31" s="49">
        <v>0</v>
      </c>
      <c r="D31" s="27" t="e">
        <f t="shared" si="12"/>
        <v>#DIV/0!</v>
      </c>
      <c r="F31" s="26">
        <v>28.891999999999999</v>
      </c>
      <c r="G31" s="26">
        <v>31.309000000000001</v>
      </c>
      <c r="H31" s="27">
        <f t="shared" si="13"/>
        <v>8.3656375467257432E-2</v>
      </c>
      <c r="I31" s="33"/>
      <c r="J31" s="26">
        <v>0</v>
      </c>
      <c r="K31" s="26">
        <v>28328.224999999999</v>
      </c>
      <c r="L31" s="26">
        <v>14354.048000000001</v>
      </c>
      <c r="N31" s="25" t="s">
        <v>16</v>
      </c>
      <c r="O31" s="11">
        <f t="shared" si="18"/>
        <v>0</v>
      </c>
      <c r="P31" s="11">
        <f t="shared" si="20"/>
        <v>0</v>
      </c>
      <c r="Q31" s="27" t="e">
        <f t="shared" si="14"/>
        <v>#DIV/0!</v>
      </c>
      <c r="S31" s="11">
        <f t="shared" si="21"/>
        <v>2222.4615384615386</v>
      </c>
      <c r="T31" s="11">
        <f>G31/0.013</f>
        <v>2408.3846153846157</v>
      </c>
      <c r="U31" s="27">
        <f t="shared" si="16"/>
        <v>8.365637546725746E-2</v>
      </c>
      <c r="V31" s="27"/>
      <c r="W31" s="11">
        <f>(B74/0.24)+(F74/0.26)+(J74/0.23)</f>
        <v>444.58798773690074</v>
      </c>
      <c r="X31" s="11">
        <f>(C74/0.24)+(G74/0.26)+(K74/0.23)</f>
        <v>977.2166666666667</v>
      </c>
      <c r="Y31" s="27">
        <f t="shared" si="17"/>
        <v>1.198027597733851</v>
      </c>
      <c r="Z31" s="32"/>
      <c r="AA31" s="20"/>
    </row>
    <row r="32" spans="1:27">
      <c r="A32" s="25" t="s">
        <v>17</v>
      </c>
      <c r="B32" s="49">
        <v>328.49</v>
      </c>
      <c r="C32" s="49">
        <v>1742.3879999999999</v>
      </c>
      <c r="D32" s="27">
        <f t="shared" si="12"/>
        <v>4.3042345276872958</v>
      </c>
      <c r="F32" s="26">
        <v>25.445</v>
      </c>
      <c r="G32" s="26">
        <v>21.454000000000001</v>
      </c>
      <c r="H32" s="27">
        <f t="shared" si="13"/>
        <v>-0.15684810375319314</v>
      </c>
      <c r="I32" s="33"/>
      <c r="J32" s="26">
        <v>0</v>
      </c>
      <c r="K32" s="26">
        <v>24658.457999999999</v>
      </c>
      <c r="L32" s="26">
        <v>12494.558999999999</v>
      </c>
      <c r="N32" s="25" t="s">
        <v>17</v>
      </c>
      <c r="O32" s="11">
        <f t="shared" si="18"/>
        <v>1263.4230769230769</v>
      </c>
      <c r="P32" s="11">
        <f t="shared" si="20"/>
        <v>6701.4923076923069</v>
      </c>
      <c r="Q32" s="27">
        <f t="shared" si="14"/>
        <v>4.3042345276872958</v>
      </c>
      <c r="S32" s="11">
        <f t="shared" si="21"/>
        <v>1957.3076923076924</v>
      </c>
      <c r="T32" s="11">
        <f t="shared" si="21"/>
        <v>1650.3076923076924</v>
      </c>
      <c r="U32" s="27">
        <f t="shared" si="16"/>
        <v>-0.15684810375319316</v>
      </c>
      <c r="V32" s="27"/>
      <c r="W32" s="11">
        <f>(B75/0.24)+(F75/0.26)+(J75/0.23)</f>
        <v>564.29551282051284</v>
      </c>
      <c r="X32" s="11">
        <f>(C75/0.24)+(G75/0.26)+(K75/0.23)</f>
        <v>827.59006410256416</v>
      </c>
      <c r="Y32" s="27">
        <f t="shared" si="17"/>
        <v>0.46658983688533812</v>
      </c>
      <c r="Z32" s="32"/>
      <c r="AA32" s="20"/>
    </row>
    <row r="33" spans="1:26">
      <c r="A33" s="25" t="s">
        <v>18</v>
      </c>
      <c r="B33" s="49">
        <v>5590.3239999999996</v>
      </c>
      <c r="C33" s="49">
        <v>0</v>
      </c>
      <c r="D33" s="27">
        <f t="shared" si="12"/>
        <v>-1</v>
      </c>
      <c r="F33" s="26">
        <v>22.137</v>
      </c>
      <c r="G33" s="26">
        <v>21.847000000000001</v>
      </c>
      <c r="H33" s="27">
        <f t="shared" si="13"/>
        <v>-1.3100239418168638E-2</v>
      </c>
      <c r="I33" s="33"/>
      <c r="J33" s="26">
        <v>0</v>
      </c>
      <c r="K33" s="26">
        <v>25284.977999999999</v>
      </c>
      <c r="L33" s="26">
        <v>12812.019</v>
      </c>
      <c r="N33" s="25" t="s">
        <v>18</v>
      </c>
      <c r="O33" s="11">
        <f t="shared" si="18"/>
        <v>21501.24615384615</v>
      </c>
      <c r="P33" s="11">
        <f t="shared" si="20"/>
        <v>0</v>
      </c>
      <c r="Q33" s="27">
        <f t="shared" si="14"/>
        <v>-1</v>
      </c>
      <c r="S33" s="11">
        <f t="shared" si="21"/>
        <v>1702.846153846154</v>
      </c>
      <c r="T33" s="11">
        <f t="shared" si="21"/>
        <v>1680.5384615384617</v>
      </c>
      <c r="U33" s="27">
        <f t="shared" si="16"/>
        <v>-1.3100239418168716E-2</v>
      </c>
      <c r="V33" s="27"/>
      <c r="W33" s="11">
        <f t="shared" si="19"/>
        <v>682.08493589743591</v>
      </c>
      <c r="X33" s="11">
        <f t="shared" si="19"/>
        <v>1881.5240384615383</v>
      </c>
      <c r="Y33" s="27">
        <f t="shared" si="17"/>
        <v>1.7584893602524312</v>
      </c>
      <c r="Z33" s="11"/>
    </row>
    <row r="34" spans="1:26">
      <c r="A34" s="25" t="s">
        <v>19</v>
      </c>
      <c r="B34" s="49">
        <v>0</v>
      </c>
      <c r="C34" s="49">
        <v>0</v>
      </c>
      <c r="D34" s="27" t="e">
        <f t="shared" si="12"/>
        <v>#DIV/0!</v>
      </c>
      <c r="F34" s="26">
        <v>21.995000000000001</v>
      </c>
      <c r="G34" s="26">
        <v>56.222000000000001</v>
      </c>
      <c r="H34" s="27">
        <f t="shared" si="13"/>
        <v>1.5561263923619006</v>
      </c>
      <c r="I34" s="33"/>
      <c r="J34" s="26">
        <v>0</v>
      </c>
      <c r="K34" s="26">
        <v>23416.902999999998</v>
      </c>
      <c r="L34" s="26">
        <v>11865.458000000001</v>
      </c>
      <c r="N34" s="25" t="s">
        <v>19</v>
      </c>
      <c r="O34" s="11">
        <f t="shared" si="18"/>
        <v>0</v>
      </c>
      <c r="P34" s="11">
        <f t="shared" si="20"/>
        <v>0</v>
      </c>
      <c r="Q34" s="27" t="e">
        <f t="shared" si="14"/>
        <v>#DIV/0!</v>
      </c>
      <c r="S34" s="11">
        <f t="shared" si="21"/>
        <v>1691.9230769230771</v>
      </c>
      <c r="T34" s="11">
        <f t="shared" si="21"/>
        <v>4324.7692307692314</v>
      </c>
      <c r="U34" s="27">
        <f t="shared" si="16"/>
        <v>1.5561263923619004</v>
      </c>
      <c r="V34" s="27"/>
      <c r="W34" s="11">
        <f t="shared" si="19"/>
        <v>3327.7371794871797</v>
      </c>
      <c r="X34" s="11">
        <f t="shared" si="19"/>
        <v>946.87339743589746</v>
      </c>
      <c r="Y34" s="27">
        <f t="shared" si="17"/>
        <v>-0.71546028235865211</v>
      </c>
      <c r="Z34" s="11"/>
    </row>
    <row r="35" spans="1:26">
      <c r="A35" s="25" t="s">
        <v>20</v>
      </c>
      <c r="B35" s="49">
        <v>2369.9250000000002</v>
      </c>
      <c r="C35" s="49">
        <v>3201.6370000000002</v>
      </c>
      <c r="D35" s="27">
        <f t="shared" si="12"/>
        <v>0.35094443917001589</v>
      </c>
      <c r="F35" s="26">
        <v>19.289000000000001</v>
      </c>
      <c r="G35" s="26">
        <v>22.052</v>
      </c>
      <c r="H35" s="27">
        <f t="shared" si="13"/>
        <v>0.14324226242936378</v>
      </c>
      <c r="I35" s="33"/>
      <c r="J35" s="26">
        <v>0</v>
      </c>
      <c r="K35" s="26">
        <v>23237.113000000001</v>
      </c>
      <c r="L35" s="26">
        <v>11774.358</v>
      </c>
      <c r="N35" s="25" t="s">
        <v>20</v>
      </c>
      <c r="O35" s="11">
        <f t="shared" si="18"/>
        <v>9115.0961538461543</v>
      </c>
      <c r="P35" s="11">
        <f t="shared" si="20"/>
        <v>12313.988461538462</v>
      </c>
      <c r="Q35" s="27">
        <f t="shared" si="14"/>
        <v>0.35094443917001589</v>
      </c>
      <c r="S35" s="11">
        <f t="shared" si="21"/>
        <v>1483.7692307692309</v>
      </c>
      <c r="T35" s="11">
        <f t="shared" si="21"/>
        <v>1696.3076923076924</v>
      </c>
      <c r="U35" s="27">
        <f t="shared" si="16"/>
        <v>0.1432422624293638</v>
      </c>
      <c r="V35" s="27"/>
      <c r="W35" s="11">
        <f t="shared" si="19"/>
        <v>2505.7560897435892</v>
      </c>
      <c r="X35" s="11">
        <f>(C78/0.24)+(G78/0.26)+(K78/0.23)</f>
        <v>1183.6086538461539</v>
      </c>
      <c r="Y35" s="27">
        <f t="shared" si="17"/>
        <v>-0.52764410762450908</v>
      </c>
      <c r="Z35" s="11"/>
    </row>
    <row r="36" spans="1:26">
      <c r="A36" s="25" t="s">
        <v>21</v>
      </c>
      <c r="B36" s="49">
        <v>0</v>
      </c>
      <c r="C36" s="49">
        <v>0</v>
      </c>
      <c r="D36" s="27" t="e">
        <f t="shared" si="12"/>
        <v>#DIV/0!</v>
      </c>
      <c r="F36" s="26">
        <v>0</v>
      </c>
      <c r="G36" s="26">
        <v>27.638999999999999</v>
      </c>
      <c r="H36" s="27" t="e">
        <f t="shared" si="13"/>
        <v>#DIV/0!</v>
      </c>
      <c r="I36" s="33"/>
      <c r="J36" s="26">
        <v>0</v>
      </c>
      <c r="K36" s="26">
        <v>24613.097000000002</v>
      </c>
      <c r="L36" s="26">
        <v>12471.575999999999</v>
      </c>
      <c r="N36" s="25" t="s">
        <v>21</v>
      </c>
      <c r="O36" s="11">
        <f t="shared" si="18"/>
        <v>0</v>
      </c>
      <c r="P36" s="11">
        <f t="shared" si="20"/>
        <v>0</v>
      </c>
      <c r="Q36" s="27" t="e">
        <f t="shared" si="14"/>
        <v>#DIV/0!</v>
      </c>
      <c r="S36" s="11">
        <f t="shared" si="21"/>
        <v>0</v>
      </c>
      <c r="T36" s="11">
        <f t="shared" si="21"/>
        <v>2126.0769230769233</v>
      </c>
      <c r="U36" s="27" t="e">
        <f t="shared" si="16"/>
        <v>#DIV/0!</v>
      </c>
      <c r="V36" s="27"/>
      <c r="W36" s="11">
        <f t="shared" si="19"/>
        <v>871.84134615384608</v>
      </c>
      <c r="X36" s="11">
        <f t="shared" si="19"/>
        <v>1301.7971432552952</v>
      </c>
      <c r="Y36" s="27">
        <f t="shared" si="17"/>
        <v>0.49315830110399311</v>
      </c>
      <c r="Z36" s="11"/>
    </row>
    <row r="37" spans="1:26">
      <c r="A37" s="25" t="s">
        <v>22</v>
      </c>
      <c r="B37" s="49">
        <v>0</v>
      </c>
      <c r="C37" s="49">
        <v>0</v>
      </c>
      <c r="D37" s="27" t="e">
        <f t="shared" si="12"/>
        <v>#DIV/0!</v>
      </c>
      <c r="F37" s="26">
        <v>29.968</v>
      </c>
      <c r="G37" s="26">
        <v>34.064999999999998</v>
      </c>
      <c r="H37" s="27">
        <f t="shared" si="13"/>
        <v>0.13671249332621455</v>
      </c>
      <c r="I37" s="33"/>
      <c r="J37" s="26">
        <v>0</v>
      </c>
      <c r="K37" s="26">
        <v>29157.737000000001</v>
      </c>
      <c r="L37" s="26">
        <v>14774.367</v>
      </c>
      <c r="N37" s="25" t="s">
        <v>22</v>
      </c>
      <c r="O37" s="11">
        <f t="shared" si="18"/>
        <v>0</v>
      </c>
      <c r="P37" s="11">
        <f t="shared" si="20"/>
        <v>0</v>
      </c>
      <c r="Q37" s="27" t="e">
        <f t="shared" si="14"/>
        <v>#DIV/0!</v>
      </c>
      <c r="S37" s="11">
        <f t="shared" si="21"/>
        <v>2305.2307692307695</v>
      </c>
      <c r="T37" s="11">
        <f t="shared" si="21"/>
        <v>2620.3846153846152</v>
      </c>
      <c r="U37" s="27">
        <f t="shared" si="16"/>
        <v>0.13671249332621443</v>
      </c>
      <c r="V37" s="27"/>
      <c r="W37" s="11">
        <f t="shared" si="19"/>
        <v>1707.6121794871794</v>
      </c>
      <c r="X37" s="11">
        <f t="shared" si="19"/>
        <v>1532.4083333333333</v>
      </c>
      <c r="Y37" s="27">
        <f t="shared" si="17"/>
        <v>-0.1026016611139787</v>
      </c>
      <c r="Z37" s="11"/>
    </row>
    <row r="38" spans="1:26" ht="12" customHeight="1">
      <c r="A38" s="25" t="s">
        <v>23</v>
      </c>
      <c r="B38" s="50">
        <v>1208.7180000000001</v>
      </c>
      <c r="C38" s="50">
        <v>2089.808</v>
      </c>
      <c r="D38" s="30">
        <f t="shared" si="12"/>
        <v>0.72894587488562246</v>
      </c>
      <c r="F38" s="29">
        <v>28.26</v>
      </c>
      <c r="G38" s="29">
        <v>28.550999999999998</v>
      </c>
      <c r="H38" s="30">
        <f t="shared" si="13"/>
        <v>1.0297239915074197E-2</v>
      </c>
      <c r="I38" s="51"/>
      <c r="J38" s="29">
        <v>0</v>
      </c>
      <c r="K38" s="29">
        <v>24928.403999999999</v>
      </c>
      <c r="L38" s="29">
        <v>12631.343000000001</v>
      </c>
      <c r="N38" s="52" t="s">
        <v>23</v>
      </c>
      <c r="O38" s="11">
        <f t="shared" si="18"/>
        <v>4648.9153846153849</v>
      </c>
      <c r="P38" s="11">
        <f t="shared" si="20"/>
        <v>8037.7230769230764</v>
      </c>
      <c r="Q38" s="27">
        <f t="shared" si="14"/>
        <v>0.72894587488562235</v>
      </c>
      <c r="S38" s="31">
        <f t="shared" si="21"/>
        <v>2173.8461538461543</v>
      </c>
      <c r="T38" s="31">
        <f t="shared" si="21"/>
        <v>2196.2307692307691</v>
      </c>
      <c r="U38" s="30">
        <f t="shared" si="16"/>
        <v>1.0297239915074034E-2</v>
      </c>
      <c r="V38" s="27"/>
      <c r="W38" s="11">
        <f t="shared" si="19"/>
        <v>461.10512820512821</v>
      </c>
      <c r="X38" s="11">
        <f>(C81/0.24)+(G81/0.26)+(K81/0.23)</f>
        <v>1153.3092948717949</v>
      </c>
      <c r="Y38" s="30">
        <f t="shared" si="17"/>
        <v>1.5011851404930183</v>
      </c>
      <c r="Z38" s="11"/>
    </row>
    <row r="39" spans="1:26" ht="15" customHeight="1" outlineLevel="1">
      <c r="A39" s="86"/>
      <c r="B39" s="32" t="s">
        <v>59</v>
      </c>
      <c r="C39" s="32"/>
      <c r="D39" s="27"/>
      <c r="F39" s="8" t="s">
        <v>60</v>
      </c>
      <c r="G39" s="8"/>
      <c r="H39" s="27"/>
      <c r="I39" s="51"/>
      <c r="J39" s="14" t="s">
        <v>70</v>
      </c>
      <c r="K39" s="14"/>
      <c r="L39" s="14"/>
      <c r="N39" s="25"/>
      <c r="O39" s="88" t="s">
        <v>59</v>
      </c>
      <c r="P39" s="88"/>
      <c r="Q39" s="89"/>
      <c r="S39" s="33" t="s">
        <v>61</v>
      </c>
      <c r="T39" s="32"/>
      <c r="U39" s="27"/>
      <c r="V39" s="27"/>
      <c r="W39" s="88" t="s">
        <v>62</v>
      </c>
      <c r="X39" s="88"/>
      <c r="Y39" s="27"/>
      <c r="Z39" s="11"/>
    </row>
    <row r="40" spans="1:26" ht="15.75" customHeight="1" outlineLevel="1">
      <c r="A40" s="25" t="s">
        <v>26</v>
      </c>
      <c r="B40" s="69" t="str">
        <f>$B$20</f>
        <v>FY 18</v>
      </c>
      <c r="C40" s="69" t="str">
        <f>$C$20</f>
        <v>FY 19</v>
      </c>
      <c r="D40" s="27" t="s">
        <v>44</v>
      </c>
      <c r="F40" s="69" t="str">
        <f>$B$20</f>
        <v>FY 18</v>
      </c>
      <c r="G40" s="69" t="str">
        <f>$C$20</f>
        <v>FY 19</v>
      </c>
      <c r="H40" s="27" t="s">
        <v>44</v>
      </c>
      <c r="I40" s="51"/>
      <c r="J40" s="32" t="s">
        <v>47</v>
      </c>
      <c r="K40" s="32" t="s">
        <v>48</v>
      </c>
      <c r="L40" s="27" t="s">
        <v>49</v>
      </c>
      <c r="N40" s="32" t="s">
        <v>26</v>
      </c>
      <c r="O40" s="69" t="str">
        <f>$B$20</f>
        <v>FY 18</v>
      </c>
      <c r="P40" s="69" t="str">
        <f>$C$20</f>
        <v>FY 19</v>
      </c>
      <c r="Q40" s="27" t="s">
        <v>45</v>
      </c>
      <c r="S40" s="69" t="str">
        <f>$B$20</f>
        <v>FY 18</v>
      </c>
      <c r="T40" s="69" t="str">
        <f>$C$20</f>
        <v>FY 19</v>
      </c>
      <c r="U40" s="27" t="s">
        <v>46</v>
      </c>
      <c r="V40" s="27"/>
      <c r="W40" s="69" t="str">
        <f>$B$20</f>
        <v>FY 18</v>
      </c>
      <c r="X40" s="69" t="str">
        <f>$C$20</f>
        <v>FY 19</v>
      </c>
      <c r="Y40" s="27" t="s">
        <v>46</v>
      </c>
      <c r="Z40" s="11"/>
    </row>
    <row r="41" spans="1:26" ht="1.5" customHeight="1" outlineLevel="1">
      <c r="A41" s="25"/>
      <c r="B41" s="32"/>
      <c r="C41" s="32"/>
      <c r="D41" s="27"/>
      <c r="F41" s="8"/>
      <c r="G41" s="8"/>
      <c r="H41" s="27"/>
      <c r="I41" s="51"/>
      <c r="J41" s="14"/>
      <c r="K41" s="14"/>
      <c r="L41" s="14"/>
      <c r="N41" s="25"/>
      <c r="O41" s="11"/>
      <c r="P41" s="32"/>
      <c r="Q41" s="27"/>
      <c r="S41" s="33"/>
      <c r="T41" s="32"/>
      <c r="U41" s="27"/>
      <c r="V41" s="27"/>
      <c r="W41" s="32"/>
      <c r="X41" s="11"/>
      <c r="Y41" s="27"/>
      <c r="Z41" s="11"/>
    </row>
    <row r="42" spans="1:26" ht="14.25" customHeight="1" collapsed="1">
      <c r="A42" s="25" t="s">
        <v>24</v>
      </c>
      <c r="B42" s="53">
        <f>SUM(B27:B38)</f>
        <v>10147.326000000001</v>
      </c>
      <c r="C42" s="53">
        <f>SUM(C27:C38)</f>
        <v>11100.322</v>
      </c>
      <c r="D42" s="37">
        <f>(C42-B42)/B42</f>
        <v>9.3915973528395466E-2</v>
      </c>
      <c r="F42" s="53">
        <f>SUM(F27:F38)</f>
        <v>293.29200000000003</v>
      </c>
      <c r="G42" s="53">
        <f>SUM(G27:G38)</f>
        <v>360.78800000000001</v>
      </c>
      <c r="H42" s="37">
        <f>(G42-F42)/F42</f>
        <v>0.23013242775118303</v>
      </c>
      <c r="I42" s="33"/>
      <c r="J42" s="14">
        <f>SUM(J27:J38)</f>
        <v>0</v>
      </c>
      <c r="K42" s="14">
        <f>SUM(K27:K38)</f>
        <v>305844.22700000001</v>
      </c>
      <c r="L42" s="14">
        <f>SUM(L27:L38)</f>
        <v>154972.74799999999</v>
      </c>
      <c r="N42" s="2" t="str">
        <f>N21</f>
        <v>FYTD</v>
      </c>
      <c r="O42" s="34">
        <f>SUM(O27:O38)</f>
        <v>39028.176923076921</v>
      </c>
      <c r="P42" s="11">
        <f>SUM(P27:P38)</f>
        <v>42693.546153846146</v>
      </c>
      <c r="Q42" s="27">
        <f>(P42-O42)/O42</f>
        <v>9.3915973528395424E-2</v>
      </c>
      <c r="S42" s="34">
        <f>SUM(S27:S38)</f>
        <v>22560.923076923078</v>
      </c>
      <c r="T42" s="11">
        <f>SUM(T27:T38)</f>
        <v>27752.923076923074</v>
      </c>
      <c r="U42" s="27">
        <f>(T42-S42)/S42</f>
        <v>0.23013242775118295</v>
      </c>
      <c r="V42" s="27"/>
      <c r="W42" s="11">
        <f>SUM(W27:W38)</f>
        <v>13858.398885172797</v>
      </c>
      <c r="X42" s="11">
        <f>(C84/0.24)+(G84/0.26)+(K84/0.23)</f>
        <v>14239.977591973242</v>
      </c>
      <c r="Y42" s="27">
        <f>(X42-W42)/W42</f>
        <v>2.7534111982351624E-2</v>
      </c>
      <c r="Z42" s="11"/>
    </row>
    <row r="43" spans="1:26">
      <c r="A43" s="25" t="str">
        <f>A22</f>
        <v>% total</v>
      </c>
      <c r="B43" s="27">
        <f>B42/B44</f>
        <v>1</v>
      </c>
      <c r="C43" s="37">
        <f>C42/C44</f>
        <v>1</v>
      </c>
      <c r="D43" s="54" t="s">
        <v>41</v>
      </c>
      <c r="F43" s="37">
        <f>F42/F44</f>
        <v>1</v>
      </c>
      <c r="G43" s="37">
        <f>G42/G44</f>
        <v>1</v>
      </c>
      <c r="H43" s="37" t="s">
        <v>41</v>
      </c>
      <c r="J43" s="27" t="e">
        <f>J42/J44</f>
        <v>#DIV/0!</v>
      </c>
      <c r="K43" s="27">
        <f>K42/K44</f>
        <v>1</v>
      </c>
      <c r="L43" s="27">
        <f>L42/L44</f>
        <v>1</v>
      </c>
      <c r="N43" s="2" t="str">
        <f>N22</f>
        <v>% total</v>
      </c>
      <c r="O43" s="27">
        <f>O42/O44</f>
        <v>1</v>
      </c>
      <c r="P43" s="27">
        <f>P42/P44</f>
        <v>1</v>
      </c>
      <c r="Q43" s="36" t="s">
        <v>41</v>
      </c>
      <c r="S43" s="27">
        <f>S42/S44</f>
        <v>1</v>
      </c>
      <c r="T43" s="27">
        <f>T42/T44</f>
        <v>1</v>
      </c>
      <c r="U43" s="36" t="s">
        <v>41</v>
      </c>
      <c r="W43" s="27">
        <f>W42/W44</f>
        <v>1</v>
      </c>
      <c r="X43" s="27">
        <f>X42/X44</f>
        <v>1</v>
      </c>
      <c r="Y43" s="37" t="s">
        <v>41</v>
      </c>
      <c r="Z43" s="32"/>
    </row>
    <row r="44" spans="1:26">
      <c r="A44" s="25" t="str">
        <f>A23</f>
        <v>FYTotal</v>
      </c>
      <c r="B44" s="53">
        <f>SUM(B27:B38)</f>
        <v>10147.326000000001</v>
      </c>
      <c r="C44" s="53">
        <f>SUM(C27:C38)</f>
        <v>11100.322</v>
      </c>
      <c r="D44" s="37">
        <f>(C44-B44)/B44</f>
        <v>9.3915973528395466E-2</v>
      </c>
      <c r="F44" s="53">
        <f>SUM(F27:F38)</f>
        <v>293.29200000000003</v>
      </c>
      <c r="G44" s="53">
        <f>SUM(G27:G38)</f>
        <v>360.78800000000001</v>
      </c>
      <c r="H44" s="37">
        <f>(G44-F44)/F44</f>
        <v>0.23013242775118303</v>
      </c>
      <c r="I44" s="33"/>
      <c r="J44" s="14">
        <f>SUM(J27:J38)</f>
        <v>0</v>
      </c>
      <c r="K44" s="14">
        <f>SUM(K27:K38)</f>
        <v>305844.22700000001</v>
      </c>
      <c r="L44" s="8">
        <f>L42</f>
        <v>154972.74799999999</v>
      </c>
      <c r="N44" s="2" t="str">
        <f>N23</f>
        <v>FYTotal</v>
      </c>
      <c r="O44" s="11">
        <f>SUM(O27:O38)</f>
        <v>39028.176923076921</v>
      </c>
      <c r="P44" s="11">
        <f>SUM(P27:P38)</f>
        <v>42693.546153846146</v>
      </c>
      <c r="Q44" s="27">
        <f>(P44-O44)/O44</f>
        <v>9.3915973528395424E-2</v>
      </c>
      <c r="S44" s="11">
        <f>SUM(S27:S38)</f>
        <v>22560.923076923078</v>
      </c>
      <c r="T44" s="11">
        <f>SUM(T27:T38)</f>
        <v>27752.923076923074</v>
      </c>
      <c r="U44" s="27">
        <f>(T44-S44)/S44</f>
        <v>0.23013242775118295</v>
      </c>
      <c r="V44" s="27"/>
      <c r="W44" s="11">
        <f>SUM(W27:W38)</f>
        <v>13858.398885172797</v>
      </c>
      <c r="X44" s="11">
        <f>(C86/0.24)+(G86/0.26)+(K86/0.23)</f>
        <v>14239.977591973242</v>
      </c>
      <c r="Y44" s="27">
        <f>(X44-W44)/W44</f>
        <v>2.7534111982351624E-2</v>
      </c>
      <c r="Z44" s="11"/>
    </row>
    <row r="45" spans="1:26">
      <c r="A45" s="25"/>
      <c r="B45" s="11"/>
      <c r="C45" s="38"/>
      <c r="D45" s="13"/>
      <c r="E45" s="13"/>
      <c r="F45" s="13"/>
      <c r="G45" s="38"/>
      <c r="H45" s="13"/>
      <c r="I45" s="13"/>
      <c r="J45" s="13"/>
      <c r="K45" s="55" t="s">
        <v>33</v>
      </c>
      <c r="L45" s="56"/>
      <c r="N45" s="25"/>
      <c r="O45" s="57"/>
      <c r="P45" s="11"/>
      <c r="S45" s="28"/>
      <c r="T45" s="58"/>
      <c r="V45" s="27"/>
      <c r="W45" s="57"/>
      <c r="X45" s="11"/>
      <c r="Y45" s="11"/>
      <c r="Z45" s="27"/>
    </row>
    <row r="46" spans="1:26">
      <c r="B46" s="43"/>
      <c r="C46" s="16" t="s">
        <v>38</v>
      </c>
      <c r="D46" s="17"/>
      <c r="F46" s="43"/>
      <c r="G46" s="16" t="s">
        <v>35</v>
      </c>
      <c r="H46" s="17"/>
      <c r="J46" s="43"/>
      <c r="K46" s="16" t="s">
        <v>69</v>
      </c>
      <c r="L46" s="17"/>
      <c r="W46" s="20"/>
      <c r="X46" s="20"/>
      <c r="Y46" s="20"/>
      <c r="Z46" s="11"/>
    </row>
    <row r="47" spans="1:26">
      <c r="A47" s="21" t="s">
        <v>10</v>
      </c>
      <c r="B47" s="23" t="str">
        <f>B6</f>
        <v>FY 18</v>
      </c>
      <c r="C47" s="21" t="str">
        <f>C6</f>
        <v>FY 19</v>
      </c>
      <c r="D47" s="22" t="str">
        <f>D26</f>
        <v>% chg</v>
      </c>
      <c r="F47" s="23" t="str">
        <f>B6</f>
        <v>FY 18</v>
      </c>
      <c r="G47" s="21" t="str">
        <f>C6</f>
        <v>FY 19</v>
      </c>
      <c r="H47" s="22" t="str">
        <f>H26</f>
        <v>% chg</v>
      </c>
      <c r="J47" s="23" t="str">
        <f>B6</f>
        <v>FY 18</v>
      </c>
      <c r="K47" s="21" t="str">
        <f>C6</f>
        <v>FY 19</v>
      </c>
      <c r="L47" s="22" t="str">
        <f>L6</f>
        <v>% chg</v>
      </c>
      <c r="W47" s="20"/>
      <c r="X47" s="20"/>
      <c r="Y47" s="20"/>
    </row>
    <row r="48" spans="1:26">
      <c r="A48" s="25" t="s">
        <v>12</v>
      </c>
      <c r="B48" s="26">
        <v>36485.017999999996</v>
      </c>
      <c r="C48" s="26">
        <v>37954.141000000003</v>
      </c>
      <c r="D48" s="27">
        <f t="shared" ref="D48:D59" si="22">(C48-B48)/B48</f>
        <v>4.0266473213745081E-2</v>
      </c>
      <c r="F48" s="26">
        <v>96.01</v>
      </c>
      <c r="G48" s="26">
        <v>270.13</v>
      </c>
      <c r="H48" s="27">
        <f t="shared" ref="H48:H59" si="23">(G48-F48)/F48</f>
        <v>1.8135610873867305</v>
      </c>
      <c r="J48" s="26">
        <f t="shared" ref="J48:K59" si="24">B48-F48</f>
        <v>36389.007999999994</v>
      </c>
      <c r="K48" s="26">
        <f>C48-G48</f>
        <v>37684.011000000006</v>
      </c>
      <c r="L48" s="27">
        <f t="shared" ref="L48:L59" si="25">(K48-J48)/J48</f>
        <v>3.5587752213525899E-2</v>
      </c>
      <c r="N48" s="2" t="s">
        <v>34</v>
      </c>
    </row>
    <row r="49" spans="1:30">
      <c r="A49" s="25" t="s">
        <v>13</v>
      </c>
      <c r="B49" s="26">
        <v>42983.142999999996</v>
      </c>
      <c r="C49" s="26">
        <v>40649.485000000001</v>
      </c>
      <c r="D49" s="27">
        <f t="shared" si="22"/>
        <v>-5.4292400162547348E-2</v>
      </c>
      <c r="F49" s="26">
        <v>445.40800000000002</v>
      </c>
      <c r="G49" s="26">
        <v>418.82100000000003</v>
      </c>
      <c r="H49" s="27">
        <f t="shared" si="23"/>
        <v>-5.9691339176664963E-2</v>
      </c>
      <c r="J49" s="26">
        <f t="shared" si="24"/>
        <v>42537.734999999993</v>
      </c>
      <c r="K49" s="26">
        <f t="shared" si="24"/>
        <v>40230.663999999997</v>
      </c>
      <c r="L49" s="27">
        <f t="shared" si="25"/>
        <v>-5.4235868458910583E-2</v>
      </c>
      <c r="N49" s="2" t="s">
        <v>72</v>
      </c>
    </row>
    <row r="50" spans="1:30">
      <c r="A50" s="25" t="s">
        <v>14</v>
      </c>
      <c r="B50" s="26">
        <v>40073.305999999997</v>
      </c>
      <c r="C50" s="26">
        <v>38776.182000000001</v>
      </c>
      <c r="D50" s="27">
        <f t="shared" si="22"/>
        <v>-3.2368779356512195E-2</v>
      </c>
      <c r="F50" s="26">
        <v>133.95599999999999</v>
      </c>
      <c r="G50" s="26">
        <v>156.071</v>
      </c>
      <c r="H50" s="27">
        <f t="shared" si="23"/>
        <v>0.16509152258950707</v>
      </c>
      <c r="J50" s="26">
        <f t="shared" si="24"/>
        <v>39939.35</v>
      </c>
      <c r="K50" s="26">
        <f t="shared" si="24"/>
        <v>38620.110999999997</v>
      </c>
      <c r="L50" s="27">
        <f t="shared" si="25"/>
        <v>-3.3031058342211414E-2</v>
      </c>
      <c r="N50" s="2" t="s">
        <v>40</v>
      </c>
      <c r="P50" s="20"/>
      <c r="U50" s="20"/>
    </row>
    <row r="51" spans="1:30">
      <c r="A51" s="25" t="s">
        <v>15</v>
      </c>
      <c r="B51" s="26">
        <v>37028.482000000004</v>
      </c>
      <c r="C51" s="26">
        <v>37770.506999999998</v>
      </c>
      <c r="D51" s="27">
        <f t="shared" si="22"/>
        <v>2.0039303798627072E-2</v>
      </c>
      <c r="F51" s="26">
        <v>170.607</v>
      </c>
      <c r="G51" s="26">
        <v>290.95999999999998</v>
      </c>
      <c r="H51" s="27">
        <f t="shared" si="23"/>
        <v>0.70543998780823758</v>
      </c>
      <c r="J51" s="26">
        <f>B51-F51</f>
        <v>36857.875</v>
      </c>
      <c r="K51" s="26">
        <f>C51-G51</f>
        <v>37479.546999999999</v>
      </c>
      <c r="L51" s="27">
        <f t="shared" si="25"/>
        <v>1.6866734720870333E-2</v>
      </c>
      <c r="N51" s="2" t="s">
        <v>36</v>
      </c>
      <c r="P51" s="20"/>
      <c r="R51" s="20"/>
      <c r="U51" s="59"/>
    </row>
    <row r="52" spans="1:30">
      <c r="A52" s="25" t="s">
        <v>16</v>
      </c>
      <c r="B52" s="26">
        <v>35611.180999999997</v>
      </c>
      <c r="C52" s="26">
        <v>42934.050999999999</v>
      </c>
      <c r="D52" s="27">
        <f t="shared" si="22"/>
        <v>0.2056340114078217</v>
      </c>
      <c r="F52" s="26">
        <v>113.81</v>
      </c>
      <c r="G52" s="26">
        <v>251.77799999999999</v>
      </c>
      <c r="H52" s="27">
        <f t="shared" si="23"/>
        <v>1.2122660574641946</v>
      </c>
      <c r="J52" s="26">
        <f t="shared" si="24"/>
        <v>35497.370999999999</v>
      </c>
      <c r="K52" s="26">
        <f t="shared" si="24"/>
        <v>42682.273000000001</v>
      </c>
      <c r="L52" s="27">
        <f t="shared" si="25"/>
        <v>0.20240659512503059</v>
      </c>
      <c r="N52" s="2" t="s">
        <v>37</v>
      </c>
    </row>
    <row r="53" spans="1:30">
      <c r="A53" s="25" t="s">
        <v>17</v>
      </c>
      <c r="B53" s="26">
        <v>37898.555</v>
      </c>
      <c r="C53" s="26">
        <v>37362.953000000001</v>
      </c>
      <c r="D53" s="27">
        <f t="shared" si="22"/>
        <v>-1.4132517717364131E-2</v>
      </c>
      <c r="F53" s="26">
        <v>144.99100000000001</v>
      </c>
      <c r="G53" s="26">
        <v>209.934</v>
      </c>
      <c r="H53" s="27">
        <f t="shared" si="23"/>
        <v>0.44791055996579082</v>
      </c>
      <c r="J53" s="26">
        <f>B53-F53</f>
        <v>37753.563999999998</v>
      </c>
      <c r="K53" s="26">
        <f>C53-G53</f>
        <v>37153.019</v>
      </c>
      <c r="L53" s="27">
        <f t="shared" si="25"/>
        <v>-1.5906975034198051E-2</v>
      </c>
      <c r="N53" s="2" t="s">
        <v>73</v>
      </c>
    </row>
    <row r="54" spans="1:30">
      <c r="A54" s="25" t="s">
        <v>18</v>
      </c>
      <c r="B54" s="26">
        <v>41717.936999999998</v>
      </c>
      <c r="C54" s="26">
        <v>38581.785000000003</v>
      </c>
      <c r="D54" s="27">
        <f t="shared" si="22"/>
        <v>-7.5175145885090028E-2</v>
      </c>
      <c r="F54" s="26">
        <v>176.54900000000001</v>
      </c>
      <c r="G54" s="26">
        <v>484.78699999999998</v>
      </c>
      <c r="H54" s="27">
        <f t="shared" si="23"/>
        <v>1.7459062356626203</v>
      </c>
      <c r="J54" s="26">
        <f t="shared" si="24"/>
        <v>41541.387999999999</v>
      </c>
      <c r="K54" s="26">
        <f t="shared" si="24"/>
        <v>38096.998000000007</v>
      </c>
      <c r="L54" s="27">
        <f t="shared" si="25"/>
        <v>-8.2914658508762201E-2</v>
      </c>
      <c r="N54" s="2" t="s">
        <v>74</v>
      </c>
      <c r="O54" s="20"/>
      <c r="P54" s="20"/>
      <c r="R54" s="20"/>
      <c r="U54" s="20"/>
    </row>
    <row r="55" spans="1:30">
      <c r="A55" s="25" t="s">
        <v>19</v>
      </c>
      <c r="B55" s="26">
        <v>35263.591999999997</v>
      </c>
      <c r="C55" s="26">
        <v>35522.978999999999</v>
      </c>
      <c r="D55" s="27">
        <f t="shared" si="22"/>
        <v>7.3556601947981498E-3</v>
      </c>
      <c r="F55" s="26">
        <v>853.09100000000001</v>
      </c>
      <c r="G55" s="26">
        <v>240.61799999999999</v>
      </c>
      <c r="H55" s="27">
        <f t="shared" si="23"/>
        <v>-0.7179456822308522</v>
      </c>
      <c r="J55" s="26">
        <f t="shared" si="24"/>
        <v>34410.500999999997</v>
      </c>
      <c r="K55" s="26">
        <f>C55-G55</f>
        <v>35282.360999999997</v>
      </c>
      <c r="L55" s="27">
        <f t="shared" si="25"/>
        <v>2.5337033017915102E-2</v>
      </c>
      <c r="N55" s="2" t="s">
        <v>79</v>
      </c>
      <c r="P55" s="20"/>
      <c r="R55" s="20"/>
      <c r="U55" s="20"/>
      <c r="AD55" s="33"/>
    </row>
    <row r="56" spans="1:30">
      <c r="A56" s="25" t="s">
        <v>20</v>
      </c>
      <c r="B56" s="26">
        <v>38286.949000000001</v>
      </c>
      <c r="C56" s="26">
        <v>35313.093000000001</v>
      </c>
      <c r="D56" s="27">
        <f t="shared" si="22"/>
        <v>-7.7672838334545788E-2</v>
      </c>
      <c r="F56" s="26">
        <v>642.45699999999999</v>
      </c>
      <c r="G56" s="26">
        <v>301.62200000000001</v>
      </c>
      <c r="H56" s="27">
        <f t="shared" si="23"/>
        <v>-0.5305179957569145</v>
      </c>
      <c r="J56" s="26">
        <f t="shared" si="24"/>
        <v>37644.491999999998</v>
      </c>
      <c r="K56" s="26">
        <f t="shared" si="24"/>
        <v>35011.470999999998</v>
      </c>
      <c r="L56" s="27">
        <f t="shared" si="25"/>
        <v>-6.9944389208386734E-2</v>
      </c>
      <c r="N56" s="25" t="s">
        <v>75</v>
      </c>
    </row>
    <row r="57" spans="1:30">
      <c r="A57" s="25" t="s">
        <v>21</v>
      </c>
      <c r="B57" s="26">
        <v>34637.951000000001</v>
      </c>
      <c r="C57" s="26">
        <v>37414.398999999998</v>
      </c>
      <c r="D57" s="27">
        <f t="shared" si="22"/>
        <v>8.0156242498293173E-2</v>
      </c>
      <c r="F57" s="26">
        <v>224.25899999999999</v>
      </c>
      <c r="G57" s="26">
        <v>329.72500000000002</v>
      </c>
      <c r="H57" s="27">
        <f t="shared" si="23"/>
        <v>0.47028658827516417</v>
      </c>
      <c r="J57" s="26">
        <f t="shared" si="24"/>
        <v>34413.692000000003</v>
      </c>
      <c r="K57" s="26">
        <f t="shared" si="24"/>
        <v>37084.673999999999</v>
      </c>
      <c r="L57" s="27">
        <f t="shared" si="25"/>
        <v>7.7613933430914536E-2</v>
      </c>
      <c r="P57" s="20"/>
      <c r="R57" s="20"/>
      <c r="U57" s="20"/>
    </row>
    <row r="58" spans="1:30">
      <c r="A58" s="25" t="s">
        <v>22</v>
      </c>
      <c r="B58" s="26">
        <v>43240.538</v>
      </c>
      <c r="C58" s="26">
        <v>44316.338000000003</v>
      </c>
      <c r="D58" s="27">
        <f t="shared" si="22"/>
        <v>2.4879431426130798E-2</v>
      </c>
      <c r="F58" s="26">
        <v>432.93700000000001</v>
      </c>
      <c r="G58" s="26">
        <v>384.23399999999998</v>
      </c>
      <c r="H58" s="27">
        <f t="shared" si="23"/>
        <v>-0.11249442759570107</v>
      </c>
      <c r="J58" s="26">
        <f t="shared" si="24"/>
        <v>42807.601000000002</v>
      </c>
      <c r="K58" s="26">
        <f t="shared" si="24"/>
        <v>43932.104000000007</v>
      </c>
      <c r="L58" s="27">
        <f t="shared" si="25"/>
        <v>2.6268769417842504E-2</v>
      </c>
      <c r="N58" s="60"/>
      <c r="O58" s="20"/>
      <c r="P58" s="24"/>
      <c r="T58" s="24"/>
      <c r="U58" s="3"/>
    </row>
    <row r="59" spans="1:30" ht="12" customHeight="1">
      <c r="A59" s="25" t="s">
        <v>23</v>
      </c>
      <c r="B59" s="29">
        <v>41959.654999999999</v>
      </c>
      <c r="C59" s="29">
        <v>37853.025999999998</v>
      </c>
      <c r="D59" s="30">
        <f t="shared" si="22"/>
        <v>-9.7870895268323849E-2</v>
      </c>
      <c r="F59" s="29">
        <v>118.65900000000001</v>
      </c>
      <c r="G59" s="29">
        <v>293.279</v>
      </c>
      <c r="H59" s="30">
        <f t="shared" si="23"/>
        <v>1.4716119299842405</v>
      </c>
      <c r="J59" s="29">
        <f t="shared" si="24"/>
        <v>41840.995999999999</v>
      </c>
      <c r="K59" s="29">
        <f t="shared" si="24"/>
        <v>37559.746999999996</v>
      </c>
      <c r="L59" s="30">
        <f t="shared" si="25"/>
        <v>-0.10232187111415808</v>
      </c>
      <c r="N59" s="20"/>
      <c r="O59" s="20"/>
      <c r="P59" s="20"/>
      <c r="Q59" s="20"/>
      <c r="S59" s="3"/>
      <c r="T59" s="3"/>
      <c r="U59" s="3"/>
    </row>
    <row r="60" spans="1:30" ht="15" customHeight="1" outlineLevel="1">
      <c r="A60" s="86"/>
      <c r="B60" s="8" t="s">
        <v>63</v>
      </c>
      <c r="C60" s="8"/>
      <c r="D60" s="27"/>
      <c r="F60" s="61"/>
      <c r="G60" s="77" t="s">
        <v>62</v>
      </c>
      <c r="H60" s="27"/>
      <c r="J60" s="14" t="s">
        <v>64</v>
      </c>
      <c r="K60" s="8"/>
      <c r="L60" s="27"/>
      <c r="N60" s="20"/>
      <c r="O60" s="62"/>
      <c r="P60" s="63"/>
      <c r="Q60" s="63"/>
      <c r="S60" s="63"/>
      <c r="T60" s="64"/>
      <c r="U60" s="65"/>
    </row>
    <row r="61" spans="1:30" ht="15.75" customHeight="1" outlineLevel="1">
      <c r="A61" s="25" t="s">
        <v>26</v>
      </c>
      <c r="B61" s="69" t="str">
        <f>$B$20</f>
        <v>FY 18</v>
      </c>
      <c r="C61" s="69" t="str">
        <f>$C$20</f>
        <v>FY 19</v>
      </c>
      <c r="D61" s="27" t="s">
        <v>42</v>
      </c>
      <c r="F61" s="69" t="str">
        <f>$B$20</f>
        <v>FY 18</v>
      </c>
      <c r="G61" s="69" t="str">
        <f>$C$20</f>
        <v>FY 19</v>
      </c>
      <c r="H61" s="27" t="s">
        <v>42</v>
      </c>
      <c r="J61" s="69" t="str">
        <f>$B$20</f>
        <v>FY 18</v>
      </c>
      <c r="K61" s="69" t="str">
        <f>$C$20</f>
        <v>FY 19</v>
      </c>
      <c r="L61" s="27" t="s">
        <v>42</v>
      </c>
      <c r="N61" s="20"/>
      <c r="O61" s="62"/>
      <c r="P61" s="63"/>
      <c r="Q61" s="63"/>
      <c r="S61" s="63"/>
      <c r="T61" s="64"/>
      <c r="U61" s="65"/>
    </row>
    <row r="62" spans="1:30" ht="16.5" customHeight="1" collapsed="1">
      <c r="A62" s="25" t="s">
        <v>24</v>
      </c>
      <c r="B62" s="14">
        <f>SUM(B48:B58)</f>
        <v>423226.652</v>
      </c>
      <c r="C62" s="14">
        <f>SUM(C48:C58)</f>
        <v>426595.913</v>
      </c>
      <c r="D62" s="27">
        <f>(C62-B62)/B62</f>
        <v>7.9608904214283713E-3</v>
      </c>
      <c r="F62" s="14">
        <f>SUM(F48:F59)</f>
        <v>3552.7339999999999</v>
      </c>
      <c r="G62" s="14">
        <f>SUM(G48:G58)</f>
        <v>3338.6799999999994</v>
      </c>
      <c r="H62" s="27">
        <f>(G62-F62)/F62</f>
        <v>-6.0250500037436108E-2</v>
      </c>
      <c r="J62" s="14">
        <f>SUM(J48:J59)</f>
        <v>461633.57299999997</v>
      </c>
      <c r="K62" s="14">
        <f>SUM(K48:K58)</f>
        <v>423257.23299999995</v>
      </c>
      <c r="L62" s="27">
        <f>(K62-J62)/J62</f>
        <v>-8.3131605334952591E-2</v>
      </c>
      <c r="N62" s="20"/>
      <c r="O62" s="66"/>
      <c r="P62" s="66"/>
      <c r="Q62" s="66"/>
      <c r="R62" s="67"/>
      <c r="S62" s="66"/>
      <c r="T62" s="66"/>
      <c r="U62" s="66"/>
    </row>
    <row r="63" spans="1:30">
      <c r="A63" s="25" t="str">
        <f>A43</f>
        <v>% total</v>
      </c>
      <c r="B63" s="27">
        <f>B62/B64</f>
        <v>0.90980032221799678</v>
      </c>
      <c r="C63" s="27">
        <f>C62/C64</f>
        <v>0.9184990580848329</v>
      </c>
      <c r="D63" s="37" t="s">
        <v>41</v>
      </c>
      <c r="F63" s="27">
        <f>F62/F64</f>
        <v>1</v>
      </c>
      <c r="G63" s="27">
        <f>G62/G64</f>
        <v>0.91925046510712261</v>
      </c>
      <c r="H63" s="37" t="s">
        <v>41</v>
      </c>
      <c r="J63" s="27">
        <f>J62/J64</f>
        <v>1</v>
      </c>
      <c r="K63" s="27">
        <f>K62/K64</f>
        <v>0.99999999999999989</v>
      </c>
      <c r="L63" s="37" t="s">
        <v>41</v>
      </c>
      <c r="N63" s="68"/>
      <c r="O63" s="8"/>
      <c r="P63" s="61"/>
      <c r="Q63" s="61"/>
      <c r="R63" s="14"/>
      <c r="S63" s="14"/>
      <c r="T63" s="64"/>
      <c r="U63" s="69"/>
    </row>
    <row r="64" spans="1:30">
      <c r="A64" s="25" t="str">
        <f>A44</f>
        <v>FYTotal</v>
      </c>
      <c r="B64" s="14">
        <f>SUM(B48:B59)</f>
        <v>465186.30700000003</v>
      </c>
      <c r="C64" s="14">
        <f>SUM(C48:C59)</f>
        <v>464448.93900000001</v>
      </c>
      <c r="D64" s="27">
        <f>(C64-B64)/B64</f>
        <v>-1.5851025468813223E-3</v>
      </c>
      <c r="F64" s="14">
        <f>SUM(F48:F59)</f>
        <v>3552.7339999999999</v>
      </c>
      <c r="G64" s="14">
        <f>SUM(G48:G59)</f>
        <v>3631.9589999999994</v>
      </c>
      <c r="H64" s="27">
        <f>(G64-F64)/F64</f>
        <v>2.2299727477486198E-2</v>
      </c>
      <c r="J64" s="14">
        <f>SUM(J48:J59)</f>
        <v>461633.57299999997</v>
      </c>
      <c r="K64" s="14">
        <f>+C62-G62</f>
        <v>423257.23300000001</v>
      </c>
      <c r="L64" s="27">
        <f>(K64-J64)/J64</f>
        <v>-8.3131605334952466E-2</v>
      </c>
      <c r="N64" s="68"/>
      <c r="O64" s="14"/>
      <c r="P64" s="14"/>
      <c r="Q64" s="14"/>
      <c r="R64" s="14"/>
      <c r="S64" s="14"/>
      <c r="T64" s="64"/>
      <c r="U64" s="13"/>
    </row>
    <row r="65" spans="1:26">
      <c r="A65" s="25"/>
      <c r="B65" s="40"/>
      <c r="C65" s="70"/>
      <c r="D65" s="27"/>
      <c r="F65" s="40"/>
      <c r="G65" s="70"/>
      <c r="H65" s="27"/>
      <c r="J65" s="40"/>
      <c r="K65" s="70"/>
      <c r="L65" s="71"/>
      <c r="N65" s="20"/>
      <c r="Y65" s="36"/>
    </row>
    <row r="66" spans="1:26">
      <c r="A66" s="25"/>
      <c r="B66" s="72"/>
      <c r="C66" s="72"/>
      <c r="D66" s="39"/>
      <c r="E66" s="36"/>
      <c r="F66" s="72"/>
      <c r="G66" s="37"/>
      <c r="H66" s="39"/>
      <c r="L66" s="47"/>
      <c r="Z66" s="39"/>
    </row>
    <row r="67" spans="1:26">
      <c r="C67" s="33"/>
      <c r="D67" s="33"/>
      <c r="E67" s="33"/>
      <c r="F67" s="33"/>
      <c r="H67" s="33"/>
      <c r="I67" s="33"/>
      <c r="L67" s="14" t="s">
        <v>2</v>
      </c>
      <c r="R67" s="33"/>
      <c r="Y67" s="36"/>
      <c r="Z67" s="39"/>
    </row>
    <row r="68" spans="1:26">
      <c r="A68" s="82"/>
      <c r="B68" s="43"/>
      <c r="C68" s="16" t="s">
        <v>51</v>
      </c>
      <c r="D68" s="83"/>
      <c r="E68" s="84"/>
      <c r="F68" s="43"/>
      <c r="G68" s="16" t="s">
        <v>52</v>
      </c>
      <c r="H68" s="17"/>
      <c r="I68" s="81"/>
      <c r="J68" s="43"/>
      <c r="K68" s="19" t="s">
        <v>53</v>
      </c>
      <c r="L68" s="17"/>
    </row>
    <row r="69" spans="1:26">
      <c r="A69" s="85" t="s">
        <v>10</v>
      </c>
      <c r="B69" s="23" t="str">
        <f>F47</f>
        <v>FY 18</v>
      </c>
      <c r="C69" s="21" t="str">
        <f>G47</f>
        <v>FY 19</v>
      </c>
      <c r="D69" s="22" t="s">
        <v>11</v>
      </c>
      <c r="E69" s="3"/>
      <c r="F69" s="23" t="str">
        <f>B69</f>
        <v>FY 18</v>
      </c>
      <c r="G69" s="21" t="str">
        <f>C69</f>
        <v>FY 19</v>
      </c>
      <c r="H69" s="22" t="str">
        <f>D69</f>
        <v>% chg</v>
      </c>
      <c r="J69" s="48" t="str">
        <f>F69</f>
        <v>FY 18</v>
      </c>
      <c r="K69" s="21" t="str">
        <f>G69</f>
        <v>FY 19</v>
      </c>
      <c r="L69" s="22" t="str">
        <f>D69</f>
        <v>% chg</v>
      </c>
    </row>
    <row r="70" spans="1:26">
      <c r="A70" s="2" t="s">
        <v>12</v>
      </c>
      <c r="B70" s="73">
        <v>10.250999999999999</v>
      </c>
      <c r="C70" s="73">
        <v>45.158000000000001</v>
      </c>
      <c r="D70" s="27">
        <f t="shared" ref="D70:D81" si="26">(C70-B70)/B70</f>
        <v>3.405228758169935</v>
      </c>
      <c r="E70" s="36"/>
      <c r="F70" s="73">
        <v>85.76</v>
      </c>
      <c r="G70" s="73">
        <v>223.97200000000001</v>
      </c>
      <c r="H70" s="27">
        <f>(G70-F70)/F70</f>
        <v>1.611613805970149</v>
      </c>
      <c r="I70" s="36"/>
      <c r="J70" s="26">
        <v>0</v>
      </c>
      <c r="K70" s="26">
        <v>0</v>
      </c>
      <c r="L70" s="27" t="e">
        <f t="shared" ref="L70:L81" si="27">(K70-J70)/J70</f>
        <v>#DIV/0!</v>
      </c>
    </row>
    <row r="71" spans="1:26">
      <c r="A71" s="25" t="s">
        <v>13</v>
      </c>
      <c r="B71" s="78">
        <v>59.363999999999997</v>
      </c>
      <c r="C71" s="78">
        <v>52.597000000000001</v>
      </c>
      <c r="D71" s="27">
        <f t="shared" si="26"/>
        <v>-0.11399164476787273</v>
      </c>
      <c r="E71" s="27"/>
      <c r="F71" s="78">
        <v>386.04300000000001</v>
      </c>
      <c r="G71" s="78">
        <v>366.22399999999999</v>
      </c>
      <c r="H71" s="27">
        <f t="shared" ref="H71:H81" si="28">(G71-F71)/F71</f>
        <v>-5.1338840491862346E-2</v>
      </c>
      <c r="J71" s="26">
        <v>0</v>
      </c>
      <c r="K71" s="26">
        <v>0</v>
      </c>
      <c r="L71" s="27" t="e">
        <f t="shared" si="27"/>
        <v>#DIV/0!</v>
      </c>
    </row>
    <row r="72" spans="1:26">
      <c r="A72" s="25" t="s">
        <v>14</v>
      </c>
      <c r="B72" s="26">
        <v>21.346</v>
      </c>
      <c r="C72" s="26">
        <v>95.569000000000003</v>
      </c>
      <c r="D72" s="27">
        <f t="shared" si="26"/>
        <v>3.4771385739717044</v>
      </c>
      <c r="E72" s="27"/>
      <c r="F72" s="78">
        <v>112.61</v>
      </c>
      <c r="G72" s="78">
        <v>60.500999999999998</v>
      </c>
      <c r="H72" s="27">
        <f>(G72-F72)/F72</f>
        <v>-0.46273865553680849</v>
      </c>
      <c r="J72" s="26">
        <v>0</v>
      </c>
      <c r="K72" s="26">
        <v>0</v>
      </c>
      <c r="L72" s="27" t="e">
        <f t="shared" si="27"/>
        <v>#DIV/0!</v>
      </c>
    </row>
    <row r="73" spans="1:26">
      <c r="A73" s="25" t="s">
        <v>15</v>
      </c>
      <c r="B73" s="26">
        <v>35.295999999999999</v>
      </c>
      <c r="C73" s="26">
        <v>26.132000000000001</v>
      </c>
      <c r="D73" s="27">
        <f>(C73-B73)/B73</f>
        <v>-0.25963281958295553</v>
      </c>
      <c r="E73" s="27"/>
      <c r="F73" s="78">
        <v>135.08699999999999</v>
      </c>
      <c r="G73" s="78">
        <v>264.82799999999997</v>
      </c>
      <c r="H73" s="27">
        <f>(G73-F73)/F73</f>
        <v>0.96042550356436962</v>
      </c>
      <c r="J73" s="26">
        <v>0</v>
      </c>
      <c r="K73" s="26">
        <v>0</v>
      </c>
      <c r="L73" s="27" t="e">
        <f t="shared" si="27"/>
        <v>#DIV/0!</v>
      </c>
    </row>
    <row r="74" spans="1:26">
      <c r="A74" s="25" t="s">
        <v>16</v>
      </c>
      <c r="B74" s="26">
        <v>21.262</v>
      </c>
      <c r="C74" s="26">
        <v>27.591999999999999</v>
      </c>
      <c r="D74" s="27">
        <f>(C74-B74)/B74</f>
        <v>0.29771423196312663</v>
      </c>
      <c r="E74" s="27"/>
      <c r="F74" s="78">
        <v>92.471999999999994</v>
      </c>
      <c r="G74" s="78">
        <v>224.185</v>
      </c>
      <c r="H74" s="27">
        <f>(G74-F74)/F74</f>
        <v>1.4243554805779051</v>
      </c>
      <c r="J74" s="26">
        <v>7.6999999999999999E-2</v>
      </c>
      <c r="K74" s="26">
        <v>0</v>
      </c>
      <c r="L74" s="27">
        <f t="shared" si="27"/>
        <v>-1</v>
      </c>
    </row>
    <row r="75" spans="1:26">
      <c r="A75" s="25" t="s">
        <v>17</v>
      </c>
      <c r="B75" s="26">
        <v>20.722000000000001</v>
      </c>
      <c r="C75" s="26">
        <v>62.969000000000001</v>
      </c>
      <c r="D75" s="27">
        <f>(C75-B75)/B75</f>
        <v>2.0387510858025286</v>
      </c>
      <c r="E75" s="27"/>
      <c r="F75" s="78">
        <v>124.268</v>
      </c>
      <c r="G75" s="78">
        <v>146.95699999999999</v>
      </c>
      <c r="H75" s="27">
        <f t="shared" si="28"/>
        <v>0.18258119548073512</v>
      </c>
      <c r="J75" s="26">
        <v>0</v>
      </c>
      <c r="K75" s="26">
        <v>0</v>
      </c>
      <c r="L75" s="27" t="e">
        <f t="shared" si="27"/>
        <v>#DIV/0!</v>
      </c>
    </row>
    <row r="76" spans="1:26">
      <c r="A76" s="25" t="s">
        <v>18</v>
      </c>
      <c r="B76" s="26">
        <v>9.5169999999999995</v>
      </c>
      <c r="C76" s="26">
        <v>52.911000000000001</v>
      </c>
      <c r="D76" s="27">
        <f t="shared" si="26"/>
        <v>4.5596301355469171</v>
      </c>
      <c r="E76" s="27"/>
      <c r="F76" s="78">
        <v>167.03200000000001</v>
      </c>
      <c r="G76" s="78">
        <v>431.87599999999998</v>
      </c>
      <c r="H76" s="27">
        <f t="shared" si="28"/>
        <v>1.5855883902485746</v>
      </c>
      <c r="J76" s="26">
        <v>0</v>
      </c>
      <c r="K76" s="26">
        <v>0</v>
      </c>
      <c r="L76" s="27" t="e">
        <f t="shared" si="27"/>
        <v>#DIV/0!</v>
      </c>
    </row>
    <row r="77" spans="1:26">
      <c r="A77" s="25" t="s">
        <v>19</v>
      </c>
      <c r="B77" s="26">
        <v>145.44800000000001</v>
      </c>
      <c r="C77" s="26">
        <v>66.840999999999994</v>
      </c>
      <c r="D77" s="27">
        <f t="shared" si="26"/>
        <v>-0.54044744513503118</v>
      </c>
      <c r="E77" s="27"/>
      <c r="F77" s="78">
        <v>707.64300000000003</v>
      </c>
      <c r="G77" s="78">
        <v>173.77600000000001</v>
      </c>
      <c r="H77" s="27">
        <f t="shared" si="28"/>
        <v>-0.7544298466882311</v>
      </c>
      <c r="J77" s="26">
        <v>0</v>
      </c>
      <c r="K77" s="26">
        <v>0</v>
      </c>
      <c r="L77" s="27" t="e">
        <f t="shared" si="27"/>
        <v>#DIV/0!</v>
      </c>
    </row>
    <row r="78" spans="1:26">
      <c r="A78" s="25" t="s">
        <v>20</v>
      </c>
      <c r="B78" s="26">
        <v>108.47499999999999</v>
      </c>
      <c r="C78" s="26">
        <v>73.394999999999996</v>
      </c>
      <c r="D78" s="27">
        <f t="shared" si="26"/>
        <v>-0.32339248674809862</v>
      </c>
      <c r="E78" s="27"/>
      <c r="F78" s="78">
        <v>533.98199999999997</v>
      </c>
      <c r="G78" s="78">
        <v>228.227</v>
      </c>
      <c r="H78" s="27">
        <f t="shared" si="28"/>
        <v>-0.57259420729537702</v>
      </c>
      <c r="J78" s="26">
        <v>0</v>
      </c>
      <c r="K78" s="26">
        <v>0</v>
      </c>
      <c r="L78" s="27" t="e">
        <f t="shared" si="27"/>
        <v>#DIV/0!</v>
      </c>
    </row>
    <row r="79" spans="1:26">
      <c r="A79" s="25" t="s">
        <v>21</v>
      </c>
      <c r="B79" s="26">
        <v>29.036999999999999</v>
      </c>
      <c r="C79" s="26">
        <v>37.128999999999998</v>
      </c>
      <c r="D79" s="27">
        <f t="shared" si="26"/>
        <v>0.27867892688638629</v>
      </c>
      <c r="E79" s="27"/>
      <c r="F79" s="78">
        <v>195.22200000000001</v>
      </c>
      <c r="G79" s="78">
        <v>292.59199999999998</v>
      </c>
      <c r="H79" s="27">
        <f t="shared" si="28"/>
        <v>0.49876550798578012</v>
      </c>
      <c r="J79" s="26">
        <v>0</v>
      </c>
      <c r="K79" s="26">
        <v>5</v>
      </c>
      <c r="L79" s="27" t="e">
        <f t="shared" si="27"/>
        <v>#DIV/0!</v>
      </c>
    </row>
    <row r="80" spans="1:26">
      <c r="A80" s="25" t="s">
        <v>54</v>
      </c>
      <c r="B80" s="26">
        <v>132.506</v>
      </c>
      <c r="C80" s="26">
        <v>170.30600000000001</v>
      </c>
      <c r="D80" s="27">
        <f t="shared" si="26"/>
        <v>0.28527010097655964</v>
      </c>
      <c r="E80" s="27"/>
      <c r="F80" s="78">
        <v>300.43099999999998</v>
      </c>
      <c r="G80" s="78">
        <v>213.928</v>
      </c>
      <c r="H80" s="27">
        <f t="shared" si="28"/>
        <v>-0.28792967436782485</v>
      </c>
      <c r="J80" s="26">
        <v>0</v>
      </c>
      <c r="K80" s="26">
        <v>0</v>
      </c>
      <c r="L80" s="27" t="e">
        <f t="shared" si="27"/>
        <v>#DIV/0!</v>
      </c>
    </row>
    <row r="81" spans="1:12">
      <c r="A81" s="25" t="s">
        <v>23</v>
      </c>
      <c r="B81" s="29">
        <v>14.728</v>
      </c>
      <c r="C81" s="29">
        <v>78.977000000000004</v>
      </c>
      <c r="D81" s="30">
        <f t="shared" si="26"/>
        <v>4.3623709940249871</v>
      </c>
      <c r="F81" s="79">
        <v>103.932</v>
      </c>
      <c r="G81" s="79">
        <v>214.30199999999999</v>
      </c>
      <c r="H81" s="30">
        <f t="shared" si="28"/>
        <v>1.0619443482276871</v>
      </c>
      <c r="J81" s="29">
        <v>0</v>
      </c>
      <c r="K81" s="29">
        <v>0</v>
      </c>
      <c r="L81" s="30" t="e">
        <f t="shared" si="27"/>
        <v>#DIV/0!</v>
      </c>
    </row>
    <row r="82" spans="1:12">
      <c r="A82" s="86" t="s">
        <v>65</v>
      </c>
      <c r="B82" s="8"/>
      <c r="C82" s="8"/>
      <c r="D82" s="27"/>
      <c r="F82" s="8" t="s">
        <v>66</v>
      </c>
      <c r="G82" s="8"/>
      <c r="H82" s="27"/>
      <c r="J82" s="8" t="s">
        <v>67</v>
      </c>
      <c r="K82" s="8"/>
      <c r="L82" s="27"/>
    </row>
    <row r="83" spans="1:12" ht="13.5" customHeight="1">
      <c r="A83" s="2" t="s">
        <v>26</v>
      </c>
      <c r="B83" s="69" t="str">
        <f>$B$20</f>
        <v>FY 18</v>
      </c>
      <c r="C83" s="69" t="str">
        <f>$C$20</f>
        <v>FY 19</v>
      </c>
      <c r="D83" s="27" t="s">
        <v>44</v>
      </c>
      <c r="F83" s="69" t="str">
        <f>$B$20</f>
        <v>FY 18</v>
      </c>
      <c r="G83" s="69" t="str">
        <f>$C$20</f>
        <v>FY 19</v>
      </c>
      <c r="H83" s="27" t="s">
        <v>44</v>
      </c>
      <c r="J83" s="69" t="str">
        <f>$B$20</f>
        <v>FY 18</v>
      </c>
      <c r="K83" s="69" t="str">
        <f>$C$20</f>
        <v>FY 19</v>
      </c>
      <c r="L83" s="27" t="s">
        <v>44</v>
      </c>
    </row>
    <row r="84" spans="1:12">
      <c r="A84" s="25" t="s">
        <v>24</v>
      </c>
      <c r="B84" s="14">
        <f>SUM(B70:B81)</f>
        <v>607.952</v>
      </c>
      <c r="C84" s="14">
        <f>SUM(C70:C81)</f>
        <v>789.57600000000002</v>
      </c>
      <c r="D84" s="27">
        <f>(C84-B84)/B84</f>
        <v>0.29874726952127806</v>
      </c>
      <c r="E84" s="33"/>
      <c r="F84" s="14">
        <f>SUM(F70:F81)</f>
        <v>2944.482</v>
      </c>
      <c r="G84" s="14">
        <f>SUM(G70:G81)</f>
        <v>2841.3679999999999</v>
      </c>
      <c r="H84" s="27">
        <f>(G84-F84)/F84</f>
        <v>-3.5019402394037398E-2</v>
      </c>
      <c r="J84" s="14">
        <f>SUM(J70:J81)</f>
        <v>7.6999999999999999E-2</v>
      </c>
      <c r="K84" s="14">
        <f>SUM(K71:K81)</f>
        <v>5</v>
      </c>
      <c r="L84" s="27">
        <f>(K84-J84)/J84</f>
        <v>63.935064935064936</v>
      </c>
    </row>
    <row r="85" spans="1:12">
      <c r="A85" s="25" t="s">
        <v>25</v>
      </c>
      <c r="B85" s="27">
        <f>B84/B86</f>
        <v>1</v>
      </c>
      <c r="C85" s="27">
        <f>C84/C86</f>
        <v>1</v>
      </c>
      <c r="D85" s="35" t="s">
        <v>41</v>
      </c>
      <c r="F85" s="27">
        <f>F84/F86</f>
        <v>1</v>
      </c>
      <c r="G85" s="27">
        <f>G84/G86</f>
        <v>1</v>
      </c>
      <c r="H85" s="35" t="s">
        <v>41</v>
      </c>
      <c r="J85" s="27">
        <f>J84/J86</f>
        <v>1</v>
      </c>
      <c r="K85" s="27">
        <f>K84/K86</f>
        <v>1</v>
      </c>
      <c r="L85" s="3" t="s">
        <v>41</v>
      </c>
    </row>
    <row r="86" spans="1:12">
      <c r="A86" s="25" t="s">
        <v>68</v>
      </c>
      <c r="B86" s="14">
        <f>SUM(B70:B81)</f>
        <v>607.952</v>
      </c>
      <c r="C86" s="14">
        <f>SUM(C70:C81)</f>
        <v>789.57600000000002</v>
      </c>
      <c r="D86" s="27">
        <f>(C86-B86)/B86</f>
        <v>0.29874726952127806</v>
      </c>
      <c r="E86" s="33"/>
      <c r="F86" s="14">
        <f>SUM(F70:F81)</f>
        <v>2944.482</v>
      </c>
      <c r="G86" s="14">
        <f>SUM(G70:G81)</f>
        <v>2841.3679999999999</v>
      </c>
      <c r="H86" s="27">
        <f>(G86-F86)/F86</f>
        <v>-3.5019402394037398E-2</v>
      </c>
      <c r="I86" s="33"/>
      <c r="J86" s="14">
        <f>SUM(J70:J81)</f>
        <v>7.6999999999999999E-2</v>
      </c>
      <c r="K86" s="14">
        <f>SUM(K70:K81)</f>
        <v>5</v>
      </c>
      <c r="L86" s="27">
        <f>(K86-J86)/J86</f>
        <v>63.935064935064936</v>
      </c>
    </row>
    <row r="88" spans="1:12">
      <c r="A88" s="25"/>
    </row>
  </sheetData>
  <phoneticPr fontId="2" type="noConversion"/>
  <printOptions horizontalCentered="1"/>
  <pageMargins left="0" right="0" top="0.75" bottom="0" header="0.53" footer="0.5"/>
  <pageSetup scale="84" fitToWidth="0" orientation="portrait" horizontalDpi="300" verticalDpi="300" r:id="rId1"/>
  <headerFooter alignWithMargins="0">
    <oddHeader>&amp;LKansas Department of Revenue,  P / R  Motor Fuel Activity Report&amp;R&amp;D</oddHeader>
  </headerFooter>
  <colBreaks count="1" manualBreakCount="1">
    <brk id="1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Activity Report FY18-19</vt:lpstr>
      <vt:lpstr>page1</vt:lpstr>
      <vt:lpstr>page2</vt:lpstr>
      <vt:lpstr>'Activity Report FY18-19'!Print_Area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P/R Motor Fuel Activity Report</dc:title>
  <dc:subject>Motor Fuel</dc:subject>
  <dc:creator>Steve Neske</dc:creator>
  <cp:keywords>motor fuel, diesel, LP-Gas, trip permits, interstate</cp:keywords>
  <cp:lastModifiedBy>Toshi Wakana [KDOR]</cp:lastModifiedBy>
  <cp:lastPrinted>2014-12-01T17:18:14Z</cp:lastPrinted>
  <dcterms:created xsi:type="dcterms:W3CDTF">1997-10-07T14:57:12Z</dcterms:created>
  <dcterms:modified xsi:type="dcterms:W3CDTF">2019-08-22T20:52:31Z</dcterms:modified>
</cp:coreProperties>
</file>