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ecommwebshare\websites\KSRevenue\pdf\"/>
    </mc:Choice>
  </mc:AlternateContent>
  <xr:revisionPtr revIDLastSave="0" documentId="8_{C60FAA3E-3D73-40F3-AE3F-CF3AFF61E061}" xr6:coauthVersionLast="47" xr6:coauthVersionMax="47" xr10:uidLastSave="{00000000-0000-0000-0000-000000000000}"/>
  <bookViews>
    <workbookView xWindow="-108" yWindow="-108" windowWidth="23256" windowHeight="12456" xr2:uid="{5B7F2706-8B48-40A7-8BAE-CF7E4C0E6550}"/>
  </bookViews>
  <sheets>
    <sheet name="Sheet1" sheetId="1" r:id="rId1"/>
    <sheet name="2024 v 2025 hard code" sheetId="2" r:id="rId2"/>
  </sheets>
  <externalReferences>
    <externalReference r:id="rId3"/>
  </externalReferences>
  <definedNames>
    <definedName name="CapRate">[1]CapRate!$D$2:$AM$106</definedName>
    <definedName name="_xlnm.Print_Area" localSheetId="1">'2024 v 2025 hard code'!$D$5:$BL$363</definedName>
    <definedName name="_xlnm.Print_Area" localSheetId="0">Sheet1!$B$4:$J$33</definedName>
    <definedName name="_xlnm.Print_Titles" localSheetId="1">'2024 v 2025 hard code'!$2:$4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363" i="2" l="1"/>
  <c r="BK363" i="2" s="1"/>
  <c r="BN363" i="2" s="1"/>
  <c r="BI363" i="2"/>
  <c r="BH363" i="2"/>
  <c r="BG363" i="2"/>
  <c r="BF363" i="2"/>
  <c r="BE363" i="2"/>
  <c r="BD363" i="2"/>
  <c r="BC363" i="2"/>
  <c r="BB363" i="2"/>
  <c r="BA363" i="2"/>
  <c r="AZ363" i="2"/>
  <c r="AS363" i="2"/>
  <c r="AQ363" i="2"/>
  <c r="AP363" i="2"/>
  <c r="AO363" i="2"/>
  <c r="AN363" i="2"/>
  <c r="AM363" i="2"/>
  <c r="AL363" i="2"/>
  <c r="AK363" i="2"/>
  <c r="Y363" i="2"/>
  <c r="AY363" i="2" s="1"/>
  <c r="X363" i="2"/>
  <c r="AX363" i="2" s="1"/>
  <c r="W363" i="2"/>
  <c r="AW363" i="2" s="1"/>
  <c r="V363" i="2"/>
  <c r="AV363" i="2" s="1"/>
  <c r="U363" i="2"/>
  <c r="AU363" i="2" s="1"/>
  <c r="T363" i="2"/>
  <c r="AT363" i="2" s="1"/>
  <c r="S363" i="2"/>
  <c r="Q363" i="2"/>
  <c r="R363" i="2" s="1"/>
  <c r="AR363" i="2" s="1"/>
  <c r="P363" i="2"/>
  <c r="N363" i="2"/>
  <c r="M363" i="2"/>
  <c r="L363" i="2"/>
  <c r="K363" i="2"/>
  <c r="J363" i="2"/>
  <c r="I363" i="2"/>
  <c r="F363" i="2"/>
  <c r="BJ362" i="2"/>
  <c r="BK362" i="2" s="1"/>
  <c r="BP362" i="2" s="1"/>
  <c r="BI362" i="2"/>
  <c r="BG362" i="2"/>
  <c r="BE362" i="2"/>
  <c r="AU362" i="2"/>
  <c r="AT362" i="2"/>
  <c r="AS362" i="2"/>
  <c r="AR362" i="2"/>
  <c r="AQ362" i="2"/>
  <c r="AP362" i="2"/>
  <c r="AO362" i="2"/>
  <c r="AM362" i="2"/>
  <c r="AL362" i="2"/>
  <c r="AK362" i="2"/>
  <c r="W362" i="2"/>
  <c r="AW362" i="2" s="1"/>
  <c r="V362" i="2"/>
  <c r="U362" i="2"/>
  <c r="T362" i="2"/>
  <c r="S362" i="2"/>
  <c r="Q362" i="2"/>
  <c r="P362" i="2"/>
  <c r="N362" i="2"/>
  <c r="M362" i="2"/>
  <c r="AN362" i="2" s="1"/>
  <c r="L362" i="2"/>
  <c r="K362" i="2"/>
  <c r="J362" i="2"/>
  <c r="F362" i="2"/>
  <c r="BJ361" i="2"/>
  <c r="BK361" i="2" s="1"/>
  <c r="BM361" i="2" s="1"/>
  <c r="BI361" i="2"/>
  <c r="BH361" i="2"/>
  <c r="BH362" i="2" s="1"/>
  <c r="BG361" i="2"/>
  <c r="BF361" i="2"/>
  <c r="BF362" i="2" s="1"/>
  <c r="BE361" i="2"/>
  <c r="BD361" i="2"/>
  <c r="BD362" i="2" s="1"/>
  <c r="BC361" i="2"/>
  <c r="BC362" i="2" s="1"/>
  <c r="BB361" i="2"/>
  <c r="BB362" i="2" s="1"/>
  <c r="BA361" i="2"/>
  <c r="BA362" i="2" s="1"/>
  <c r="AZ361" i="2"/>
  <c r="AZ362" i="2" s="1"/>
  <c r="AY361" i="2"/>
  <c r="AY362" i="2" s="1"/>
  <c r="AX361" i="2"/>
  <c r="AX362" i="2" s="1"/>
  <c r="AU361" i="2"/>
  <c r="AS361" i="2"/>
  <c r="AR361" i="2"/>
  <c r="AQ361" i="2"/>
  <c r="AO361" i="2"/>
  <c r="AN361" i="2"/>
  <c r="AM361" i="2"/>
  <c r="AL361" i="2"/>
  <c r="AK361" i="2"/>
  <c r="W361" i="2"/>
  <c r="AW361" i="2" s="1"/>
  <c r="V361" i="2"/>
  <c r="AV361" i="2" s="1"/>
  <c r="AV362" i="2" s="1"/>
  <c r="U361" i="2"/>
  <c r="T361" i="2"/>
  <c r="AT361" i="2" s="1"/>
  <c r="S361" i="2"/>
  <c r="Q361" i="2"/>
  <c r="P361" i="2"/>
  <c r="AP361" i="2" s="1"/>
  <c r="N361" i="2"/>
  <c r="M361" i="2"/>
  <c r="L361" i="2"/>
  <c r="K361" i="2"/>
  <c r="J361" i="2"/>
  <c r="I361" i="2"/>
  <c r="F361" i="2"/>
  <c r="BJ360" i="2"/>
  <c r="BI360" i="2"/>
  <c r="BH360" i="2"/>
  <c r="BG360" i="2"/>
  <c r="BF360" i="2"/>
  <c r="BE360" i="2"/>
  <c r="BD360" i="2"/>
  <c r="BC360" i="2"/>
  <c r="BB360" i="2"/>
  <c r="BA360" i="2"/>
  <c r="AZ360" i="2"/>
  <c r="AX360" i="2"/>
  <c r="AW360" i="2"/>
  <c r="AT360" i="2"/>
  <c r="AS360" i="2"/>
  <c r="AQ360" i="2"/>
  <c r="AP360" i="2"/>
  <c r="AO360" i="2"/>
  <c r="AN360" i="2"/>
  <c r="AM360" i="2"/>
  <c r="Y360" i="2"/>
  <c r="AY360" i="2" s="1"/>
  <c r="X360" i="2"/>
  <c r="W360" i="2"/>
  <c r="V360" i="2"/>
  <c r="AV360" i="2" s="1"/>
  <c r="U360" i="2"/>
  <c r="AU360" i="2" s="1"/>
  <c r="T360" i="2"/>
  <c r="S360" i="2"/>
  <c r="R360" i="2"/>
  <c r="AR360" i="2" s="1"/>
  <c r="Q360" i="2"/>
  <c r="P360" i="2"/>
  <c r="N360" i="2"/>
  <c r="M360" i="2"/>
  <c r="L360" i="2"/>
  <c r="K360" i="2"/>
  <c r="AL360" i="2" s="1"/>
  <c r="J360" i="2"/>
  <c r="AK360" i="2" s="1"/>
  <c r="I360" i="2"/>
  <c r="F360" i="2"/>
  <c r="BI359" i="2"/>
  <c r="BE359" i="2"/>
  <c r="BB359" i="2"/>
  <c r="BA359" i="2"/>
  <c r="AZ359" i="2"/>
  <c r="AY359" i="2"/>
  <c r="AX359" i="2"/>
  <c r="AR359" i="2"/>
  <c r="AQ359" i="2"/>
  <c r="AO359" i="2"/>
  <c r="AL359" i="2"/>
  <c r="AK359" i="2"/>
  <c r="W359" i="2"/>
  <c r="V359" i="2"/>
  <c r="U359" i="2"/>
  <c r="AU359" i="2" s="1"/>
  <c r="T359" i="2"/>
  <c r="AT359" i="2" s="1"/>
  <c r="S359" i="2"/>
  <c r="AS359" i="2" s="1"/>
  <c r="Q359" i="2"/>
  <c r="P359" i="2"/>
  <c r="AP359" i="2" s="1"/>
  <c r="N359" i="2"/>
  <c r="M359" i="2"/>
  <c r="AN359" i="2" s="1"/>
  <c r="L359" i="2"/>
  <c r="AM359" i="2" s="1"/>
  <c r="K359" i="2"/>
  <c r="J359" i="2"/>
  <c r="F359" i="2"/>
  <c r="BJ358" i="2"/>
  <c r="BI358" i="2"/>
  <c r="BH358" i="2"/>
  <c r="BH359" i="2" s="1"/>
  <c r="BG358" i="2"/>
  <c r="BG359" i="2" s="1"/>
  <c r="BF358" i="2"/>
  <c r="BF359" i="2" s="1"/>
  <c r="BE358" i="2"/>
  <c r="BD358" i="2"/>
  <c r="BD359" i="2" s="1"/>
  <c r="BC358" i="2"/>
  <c r="BC359" i="2" s="1"/>
  <c r="BB358" i="2"/>
  <c r="BA358" i="2"/>
  <c r="AZ358" i="2"/>
  <c r="AY358" i="2"/>
  <c r="AX358" i="2"/>
  <c r="AW358" i="2"/>
  <c r="AR358" i="2"/>
  <c r="AP358" i="2"/>
  <c r="AO358" i="2"/>
  <c r="AL358" i="2"/>
  <c r="W358" i="2"/>
  <c r="V358" i="2"/>
  <c r="AV358" i="2" s="1"/>
  <c r="U358" i="2"/>
  <c r="AU358" i="2" s="1"/>
  <c r="T358" i="2"/>
  <c r="AT358" i="2" s="1"/>
  <c r="S358" i="2"/>
  <c r="AS358" i="2" s="1"/>
  <c r="Q358" i="2"/>
  <c r="AQ358" i="2" s="1"/>
  <c r="P358" i="2"/>
  <c r="N358" i="2"/>
  <c r="M358" i="2"/>
  <c r="AN358" i="2" s="1"/>
  <c r="L358" i="2"/>
  <c r="AM358" i="2" s="1"/>
  <c r="K358" i="2"/>
  <c r="J358" i="2"/>
  <c r="AK358" i="2" s="1"/>
  <c r="I358" i="2"/>
  <c r="F358" i="2"/>
  <c r="BJ357" i="2"/>
  <c r="BK357" i="2" s="1"/>
  <c r="BN357" i="2" s="1"/>
  <c r="BI357" i="2"/>
  <c r="BH357" i="2"/>
  <c r="BG357" i="2"/>
  <c r="BF357" i="2"/>
  <c r="BE357" i="2"/>
  <c r="BD357" i="2"/>
  <c r="BC357" i="2"/>
  <c r="BB357" i="2"/>
  <c r="BA357" i="2"/>
  <c r="AZ357" i="2"/>
  <c r="AY357" i="2"/>
  <c r="AX357" i="2"/>
  <c r="AV357" i="2"/>
  <c r="AO357" i="2"/>
  <c r="AM357" i="2"/>
  <c r="AL357" i="2"/>
  <c r="Y357" i="2"/>
  <c r="X357" i="2"/>
  <c r="W357" i="2"/>
  <c r="AW357" i="2" s="1"/>
  <c r="V357" i="2"/>
  <c r="U357" i="2"/>
  <c r="AU357" i="2" s="1"/>
  <c r="T357" i="2"/>
  <c r="AT357" i="2" s="1"/>
  <c r="S357" i="2"/>
  <c r="AS357" i="2" s="1"/>
  <c r="Q357" i="2"/>
  <c r="P357" i="2"/>
  <c r="AP357" i="2" s="1"/>
  <c r="N357" i="2"/>
  <c r="M357" i="2"/>
  <c r="AN357" i="2" s="1"/>
  <c r="L357" i="2"/>
  <c r="K357" i="2"/>
  <c r="J357" i="2"/>
  <c r="AK357" i="2" s="1"/>
  <c r="I357" i="2"/>
  <c r="F357" i="2"/>
  <c r="BG356" i="2"/>
  <c r="BE356" i="2"/>
  <c r="BD356" i="2"/>
  <c r="BC356" i="2"/>
  <c r="BB356" i="2"/>
  <c r="AZ356" i="2"/>
  <c r="AX356" i="2"/>
  <c r="AU356" i="2"/>
  <c r="AT356" i="2"/>
  <c r="AR356" i="2"/>
  <c r="AQ356" i="2"/>
  <c r="AP356" i="2"/>
  <c r="AO356" i="2"/>
  <c r="AN356" i="2"/>
  <c r="AK356" i="2"/>
  <c r="W356" i="2"/>
  <c r="V356" i="2"/>
  <c r="U356" i="2"/>
  <c r="T356" i="2"/>
  <c r="S356" i="2"/>
  <c r="AS356" i="2" s="1"/>
  <c r="Q356" i="2"/>
  <c r="P356" i="2"/>
  <c r="N356" i="2"/>
  <c r="M356" i="2"/>
  <c r="L356" i="2"/>
  <c r="AM356" i="2" s="1"/>
  <c r="K356" i="2"/>
  <c r="AL356" i="2" s="1"/>
  <c r="J356" i="2"/>
  <c r="F356" i="2"/>
  <c r="BJ355" i="2"/>
  <c r="BJ356" i="2" s="1"/>
  <c r="BI355" i="2"/>
  <c r="BI356" i="2" s="1"/>
  <c r="BH355" i="2"/>
  <c r="BH356" i="2" s="1"/>
  <c r="BG355" i="2"/>
  <c r="BF355" i="2"/>
  <c r="BF356" i="2" s="1"/>
  <c r="BE355" i="2"/>
  <c r="BD355" i="2"/>
  <c r="BC355" i="2"/>
  <c r="BB355" i="2"/>
  <c r="BA355" i="2"/>
  <c r="BA356" i="2" s="1"/>
  <c r="AZ355" i="2"/>
  <c r="AY355" i="2"/>
  <c r="AY356" i="2" s="1"/>
  <c r="AX355" i="2"/>
  <c r="AV355" i="2"/>
  <c r="AU355" i="2"/>
  <c r="AS355" i="2"/>
  <c r="AR355" i="2"/>
  <c r="AQ355" i="2"/>
  <c r="AP355" i="2"/>
  <c r="AO355" i="2"/>
  <c r="AN355" i="2"/>
  <c r="AL355" i="2"/>
  <c r="AK355" i="2"/>
  <c r="W355" i="2"/>
  <c r="AW355" i="2" s="1"/>
  <c r="V355" i="2"/>
  <c r="U355" i="2"/>
  <c r="T355" i="2"/>
  <c r="AT355" i="2" s="1"/>
  <c r="S355" i="2"/>
  <c r="Q355" i="2"/>
  <c r="P355" i="2"/>
  <c r="N355" i="2"/>
  <c r="M355" i="2"/>
  <c r="L355" i="2"/>
  <c r="AM355" i="2" s="1"/>
  <c r="K355" i="2"/>
  <c r="J355" i="2"/>
  <c r="I355" i="2"/>
  <c r="F355" i="2"/>
  <c r="BJ354" i="2"/>
  <c r="BI354" i="2"/>
  <c r="BK354" i="2" s="1"/>
  <c r="BN354" i="2" s="1"/>
  <c r="BH354" i="2"/>
  <c r="BG354" i="2"/>
  <c r="BF354" i="2"/>
  <c r="BE354" i="2"/>
  <c r="BD354" i="2"/>
  <c r="BC354" i="2"/>
  <c r="BB354" i="2"/>
  <c r="BA354" i="2"/>
  <c r="AZ354" i="2"/>
  <c r="AY354" i="2"/>
  <c r="AX354" i="2"/>
  <c r="AV354" i="2"/>
  <c r="AU354" i="2"/>
  <c r="AO354" i="2"/>
  <c r="AN354" i="2"/>
  <c r="AM354" i="2"/>
  <c r="AL354" i="2"/>
  <c r="AK354" i="2"/>
  <c r="Y354" i="2"/>
  <c r="X354" i="2"/>
  <c r="W354" i="2"/>
  <c r="AW354" i="2" s="1"/>
  <c r="V354" i="2"/>
  <c r="U354" i="2"/>
  <c r="T354" i="2"/>
  <c r="AT354" i="2" s="1"/>
  <c r="S354" i="2"/>
  <c r="AS354" i="2" s="1"/>
  <c r="Q354" i="2"/>
  <c r="P354" i="2"/>
  <c r="AP354" i="2" s="1"/>
  <c r="N354" i="2"/>
  <c r="M354" i="2"/>
  <c r="L354" i="2"/>
  <c r="K354" i="2"/>
  <c r="J354" i="2"/>
  <c r="I354" i="2"/>
  <c r="F354" i="2"/>
  <c r="BJ353" i="2"/>
  <c r="BK353" i="2" s="1"/>
  <c r="BP353" i="2" s="1"/>
  <c r="BI353" i="2"/>
  <c r="BG353" i="2"/>
  <c r="BC353" i="2"/>
  <c r="BA353" i="2"/>
  <c r="AZ353" i="2"/>
  <c r="AY353" i="2"/>
  <c r="AX353" i="2"/>
  <c r="AT353" i="2"/>
  <c r="AS353" i="2"/>
  <c r="AR353" i="2"/>
  <c r="AQ353" i="2"/>
  <c r="AP353" i="2"/>
  <c r="AO353" i="2"/>
  <c r="AM353" i="2"/>
  <c r="W353" i="2"/>
  <c r="AW353" i="2" s="1"/>
  <c r="V353" i="2"/>
  <c r="AV353" i="2" s="1"/>
  <c r="U353" i="2"/>
  <c r="AU353" i="2" s="1"/>
  <c r="T353" i="2"/>
  <c r="S353" i="2"/>
  <c r="Q353" i="2"/>
  <c r="P353" i="2"/>
  <c r="N353" i="2"/>
  <c r="M353" i="2"/>
  <c r="AN353" i="2" s="1"/>
  <c r="L353" i="2"/>
  <c r="K353" i="2"/>
  <c r="AL353" i="2" s="1"/>
  <c r="J353" i="2"/>
  <c r="AK353" i="2" s="1"/>
  <c r="F353" i="2"/>
  <c r="BK352" i="2"/>
  <c r="BM352" i="2" s="1"/>
  <c r="BJ352" i="2"/>
  <c r="BI352" i="2"/>
  <c r="BH352" i="2"/>
  <c r="BH353" i="2" s="1"/>
  <c r="BG352" i="2"/>
  <c r="BF352" i="2"/>
  <c r="BF353" i="2" s="1"/>
  <c r="BE352" i="2"/>
  <c r="BE353" i="2" s="1"/>
  <c r="BD352" i="2"/>
  <c r="BD353" i="2" s="1"/>
  <c r="BC352" i="2"/>
  <c r="BB352" i="2"/>
  <c r="BB353" i="2" s="1"/>
  <c r="BA352" i="2"/>
  <c r="AZ352" i="2"/>
  <c r="AY352" i="2"/>
  <c r="AX352" i="2"/>
  <c r="AT352" i="2"/>
  <c r="AS352" i="2"/>
  <c r="AR352" i="2"/>
  <c r="AQ352" i="2"/>
  <c r="AP352" i="2"/>
  <c r="AO352" i="2"/>
  <c r="AN352" i="2"/>
  <c r="AK352" i="2"/>
  <c r="W352" i="2"/>
  <c r="AW352" i="2" s="1"/>
  <c r="V352" i="2"/>
  <c r="AV352" i="2" s="1"/>
  <c r="U352" i="2"/>
  <c r="AU352" i="2" s="1"/>
  <c r="T352" i="2"/>
  <c r="S352" i="2"/>
  <c r="Q352" i="2"/>
  <c r="P352" i="2"/>
  <c r="N352" i="2"/>
  <c r="M352" i="2"/>
  <c r="L352" i="2"/>
  <c r="AM352" i="2" s="1"/>
  <c r="K352" i="2"/>
  <c r="AL352" i="2" s="1"/>
  <c r="J352" i="2"/>
  <c r="I352" i="2"/>
  <c r="F352" i="2"/>
  <c r="BK351" i="2"/>
  <c r="BN351" i="2" s="1"/>
  <c r="BJ351" i="2"/>
  <c r="BI351" i="2"/>
  <c r="BH351" i="2"/>
  <c r="BG351" i="2"/>
  <c r="BF351" i="2"/>
  <c r="BE351" i="2"/>
  <c r="BD351" i="2"/>
  <c r="BC351" i="2"/>
  <c r="BB351" i="2"/>
  <c r="BA351" i="2"/>
  <c r="AZ351" i="2"/>
  <c r="AT351" i="2"/>
  <c r="AQ351" i="2"/>
  <c r="AO351" i="2"/>
  <c r="AN351" i="2"/>
  <c r="AM351" i="2"/>
  <c r="AK351" i="2"/>
  <c r="Y351" i="2"/>
  <c r="AY351" i="2" s="1"/>
  <c r="X351" i="2"/>
  <c r="AX351" i="2" s="1"/>
  <c r="W351" i="2"/>
  <c r="AW351" i="2" s="1"/>
  <c r="V351" i="2"/>
  <c r="AV351" i="2" s="1"/>
  <c r="U351" i="2"/>
  <c r="AU351" i="2" s="1"/>
  <c r="T351" i="2"/>
  <c r="S351" i="2"/>
  <c r="AS351" i="2" s="1"/>
  <c r="Q351" i="2"/>
  <c r="R351" i="2" s="1"/>
  <c r="AR351" i="2" s="1"/>
  <c r="P351" i="2"/>
  <c r="AP351" i="2" s="1"/>
  <c r="N351" i="2"/>
  <c r="M351" i="2"/>
  <c r="L351" i="2"/>
  <c r="K351" i="2"/>
  <c r="AL351" i="2" s="1"/>
  <c r="J351" i="2"/>
  <c r="I351" i="2"/>
  <c r="F351" i="2"/>
  <c r="BJ350" i="2"/>
  <c r="BI350" i="2"/>
  <c r="BH350" i="2"/>
  <c r="BG350" i="2"/>
  <c r="BF350" i="2"/>
  <c r="BE350" i="2"/>
  <c r="BC350" i="2"/>
  <c r="BB350" i="2"/>
  <c r="AX350" i="2"/>
  <c r="AR350" i="2"/>
  <c r="AO350" i="2"/>
  <c r="AN350" i="2"/>
  <c r="AM350" i="2"/>
  <c r="AL350" i="2"/>
  <c r="AK350" i="2"/>
  <c r="W350" i="2"/>
  <c r="V350" i="2"/>
  <c r="U350" i="2"/>
  <c r="AU350" i="2" s="1"/>
  <c r="T350" i="2"/>
  <c r="AT350" i="2" s="1"/>
  <c r="S350" i="2"/>
  <c r="AS350" i="2" s="1"/>
  <c r="Q350" i="2"/>
  <c r="AQ350" i="2" s="1"/>
  <c r="P350" i="2"/>
  <c r="AP350" i="2" s="1"/>
  <c r="N350" i="2"/>
  <c r="M350" i="2"/>
  <c r="L350" i="2"/>
  <c r="K350" i="2"/>
  <c r="J350" i="2"/>
  <c r="F350" i="2"/>
  <c r="BJ349" i="2"/>
  <c r="BK349" i="2" s="1"/>
  <c r="BM349" i="2" s="1"/>
  <c r="BI349" i="2"/>
  <c r="BH349" i="2"/>
  <c r="BG349" i="2"/>
  <c r="BF349" i="2"/>
  <c r="BE349" i="2"/>
  <c r="BD349" i="2"/>
  <c r="BD350" i="2" s="1"/>
  <c r="BC349" i="2"/>
  <c r="BB349" i="2"/>
  <c r="BA349" i="2"/>
  <c r="BA350" i="2" s="1"/>
  <c r="AZ349" i="2"/>
  <c r="AZ350" i="2" s="1"/>
  <c r="AY349" i="2"/>
  <c r="AY350" i="2" s="1"/>
  <c r="AX349" i="2"/>
  <c r="AW349" i="2"/>
  <c r="AW350" i="2" s="1"/>
  <c r="AR349" i="2"/>
  <c r="AP349" i="2"/>
  <c r="AO349" i="2"/>
  <c r="AN349" i="2"/>
  <c r="AM349" i="2"/>
  <c r="W349" i="2"/>
  <c r="V349" i="2"/>
  <c r="AV349" i="2" s="1"/>
  <c r="U349" i="2"/>
  <c r="AU349" i="2" s="1"/>
  <c r="T349" i="2"/>
  <c r="AT349" i="2" s="1"/>
  <c r="S349" i="2"/>
  <c r="AS349" i="2" s="1"/>
  <c r="Q349" i="2"/>
  <c r="AQ349" i="2" s="1"/>
  <c r="P349" i="2"/>
  <c r="N349" i="2"/>
  <c r="M349" i="2"/>
  <c r="L349" i="2"/>
  <c r="K349" i="2"/>
  <c r="AL349" i="2" s="1"/>
  <c r="J349" i="2"/>
  <c r="AK349" i="2" s="1"/>
  <c r="I349" i="2"/>
  <c r="F349" i="2"/>
  <c r="BJ348" i="2"/>
  <c r="BK348" i="2" s="1"/>
  <c r="BN348" i="2" s="1"/>
  <c r="BI348" i="2"/>
  <c r="BH348" i="2"/>
  <c r="BG348" i="2"/>
  <c r="BF348" i="2"/>
  <c r="BE348" i="2"/>
  <c r="BD348" i="2"/>
  <c r="BC348" i="2"/>
  <c r="BB348" i="2"/>
  <c r="BA348" i="2"/>
  <c r="AZ348" i="2"/>
  <c r="AV348" i="2"/>
  <c r="AT348" i="2"/>
  <c r="AS348" i="2"/>
  <c r="AP348" i="2"/>
  <c r="AO348" i="2"/>
  <c r="AM348" i="2"/>
  <c r="AL348" i="2"/>
  <c r="AK348" i="2"/>
  <c r="Y348" i="2"/>
  <c r="AY348" i="2" s="1"/>
  <c r="X348" i="2"/>
  <c r="AX348" i="2" s="1"/>
  <c r="W348" i="2"/>
  <c r="AW348" i="2" s="1"/>
  <c r="V348" i="2"/>
  <c r="U348" i="2"/>
  <c r="AU348" i="2" s="1"/>
  <c r="T348" i="2"/>
  <c r="S348" i="2"/>
  <c r="Q348" i="2"/>
  <c r="AQ348" i="2" s="1"/>
  <c r="P348" i="2"/>
  <c r="N348" i="2"/>
  <c r="M348" i="2"/>
  <c r="AN348" i="2" s="1"/>
  <c r="L348" i="2"/>
  <c r="K348" i="2"/>
  <c r="J348" i="2"/>
  <c r="I348" i="2"/>
  <c r="F348" i="2"/>
  <c r="BJ347" i="2"/>
  <c r="BK347" i="2" s="1"/>
  <c r="BP347" i="2" s="1"/>
  <c r="BI347" i="2"/>
  <c r="BH347" i="2"/>
  <c r="BG347" i="2"/>
  <c r="BE347" i="2"/>
  <c r="BA347" i="2"/>
  <c r="AR347" i="2"/>
  <c r="AO347" i="2"/>
  <c r="AK347" i="2"/>
  <c r="W347" i="2"/>
  <c r="V347" i="2"/>
  <c r="U347" i="2"/>
  <c r="AU347" i="2" s="1"/>
  <c r="T347" i="2"/>
  <c r="AT347" i="2" s="1"/>
  <c r="S347" i="2"/>
  <c r="AS347" i="2" s="1"/>
  <c r="Q347" i="2"/>
  <c r="AQ347" i="2" s="1"/>
  <c r="P347" i="2"/>
  <c r="AP347" i="2" s="1"/>
  <c r="N347" i="2"/>
  <c r="M347" i="2"/>
  <c r="AN347" i="2" s="1"/>
  <c r="L347" i="2"/>
  <c r="AM347" i="2" s="1"/>
  <c r="K347" i="2"/>
  <c r="AL347" i="2" s="1"/>
  <c r="J347" i="2"/>
  <c r="F347" i="2"/>
  <c r="BJ346" i="2"/>
  <c r="BI346" i="2"/>
  <c r="BK346" i="2" s="1"/>
  <c r="BM346" i="2" s="1"/>
  <c r="BH346" i="2"/>
  <c r="BG346" i="2"/>
  <c r="BF346" i="2"/>
  <c r="BF347" i="2" s="1"/>
  <c r="BE346" i="2"/>
  <c r="BD346" i="2"/>
  <c r="BD347" i="2" s="1"/>
  <c r="BC346" i="2"/>
  <c r="BC347" i="2" s="1"/>
  <c r="BB346" i="2"/>
  <c r="BB347" i="2" s="1"/>
  <c r="BA346" i="2"/>
  <c r="AZ346" i="2"/>
  <c r="AZ347" i="2" s="1"/>
  <c r="AY346" i="2"/>
  <c r="AY347" i="2" s="1"/>
  <c r="AX346" i="2"/>
  <c r="AX347" i="2" s="1"/>
  <c r="AW346" i="2"/>
  <c r="AW347" i="2" s="1"/>
  <c r="AV346" i="2"/>
  <c r="AV347" i="2" s="1"/>
  <c r="AU346" i="2"/>
  <c r="AS346" i="2"/>
  <c r="AR346" i="2"/>
  <c r="AO346" i="2"/>
  <c r="AL346" i="2"/>
  <c r="W346" i="2"/>
  <c r="V346" i="2"/>
  <c r="U346" i="2"/>
  <c r="T346" i="2"/>
  <c r="AT346" i="2" s="1"/>
  <c r="S346" i="2"/>
  <c r="Q346" i="2"/>
  <c r="AQ346" i="2" s="1"/>
  <c r="P346" i="2"/>
  <c r="AP346" i="2" s="1"/>
  <c r="N346" i="2"/>
  <c r="M346" i="2"/>
  <c r="AN346" i="2" s="1"/>
  <c r="L346" i="2"/>
  <c r="AM346" i="2" s="1"/>
  <c r="K346" i="2"/>
  <c r="J346" i="2"/>
  <c r="AK346" i="2" s="1"/>
  <c r="I346" i="2"/>
  <c r="F346" i="2"/>
  <c r="BJ345" i="2"/>
  <c r="BI345" i="2"/>
  <c r="BK345" i="2" s="1"/>
  <c r="BN345" i="2" s="1"/>
  <c r="BH345" i="2"/>
  <c r="BG345" i="2"/>
  <c r="BF345" i="2"/>
  <c r="BE345" i="2"/>
  <c r="BD345" i="2"/>
  <c r="BC345" i="2"/>
  <c r="BB345" i="2"/>
  <c r="BA345" i="2"/>
  <c r="AZ345" i="2"/>
  <c r="AY345" i="2"/>
  <c r="AX345" i="2"/>
  <c r="AU345" i="2"/>
  <c r="AT345" i="2"/>
  <c r="AS345" i="2"/>
  <c r="AO345" i="2"/>
  <c r="AK345" i="2"/>
  <c r="Y345" i="2"/>
  <c r="X345" i="2"/>
  <c r="W345" i="2"/>
  <c r="AW345" i="2" s="1"/>
  <c r="V345" i="2"/>
  <c r="AV345" i="2" s="1"/>
  <c r="U345" i="2"/>
  <c r="T345" i="2"/>
  <c r="S345" i="2"/>
  <c r="Q345" i="2"/>
  <c r="P345" i="2"/>
  <c r="AP345" i="2" s="1"/>
  <c r="N345" i="2"/>
  <c r="M345" i="2"/>
  <c r="AN345" i="2" s="1"/>
  <c r="L345" i="2"/>
  <c r="AM345" i="2" s="1"/>
  <c r="K345" i="2"/>
  <c r="AL345" i="2" s="1"/>
  <c r="J345" i="2"/>
  <c r="I345" i="2"/>
  <c r="F345" i="2"/>
  <c r="BJ344" i="2"/>
  <c r="BK344" i="2" s="1"/>
  <c r="BP344" i="2" s="1"/>
  <c r="BG344" i="2"/>
  <c r="BF344" i="2"/>
  <c r="BE344" i="2"/>
  <c r="BD344" i="2"/>
  <c r="BC344" i="2"/>
  <c r="AZ344" i="2"/>
  <c r="AU344" i="2"/>
  <c r="AR344" i="2"/>
  <c r="AO344" i="2"/>
  <c r="AM344" i="2"/>
  <c r="AK344" i="2"/>
  <c r="W344" i="2"/>
  <c r="V344" i="2"/>
  <c r="AV344" i="2" s="1"/>
  <c r="U344" i="2"/>
  <c r="T344" i="2"/>
  <c r="AT344" i="2" s="1"/>
  <c r="S344" i="2"/>
  <c r="AS344" i="2" s="1"/>
  <c r="Q344" i="2"/>
  <c r="AQ344" i="2" s="1"/>
  <c r="P344" i="2"/>
  <c r="AP344" i="2" s="1"/>
  <c r="N344" i="2"/>
  <c r="M344" i="2"/>
  <c r="AN344" i="2" s="1"/>
  <c r="L344" i="2"/>
  <c r="K344" i="2"/>
  <c r="AL344" i="2" s="1"/>
  <c r="J344" i="2"/>
  <c r="F344" i="2"/>
  <c r="BK343" i="2"/>
  <c r="BM343" i="2" s="1"/>
  <c r="BJ343" i="2"/>
  <c r="BI343" i="2"/>
  <c r="BI344" i="2" s="1"/>
  <c r="BH343" i="2"/>
  <c r="BH344" i="2" s="1"/>
  <c r="BG343" i="2"/>
  <c r="BF343" i="2"/>
  <c r="BE343" i="2"/>
  <c r="BD343" i="2"/>
  <c r="BC343" i="2"/>
  <c r="BB343" i="2"/>
  <c r="BB344" i="2" s="1"/>
  <c r="BA343" i="2"/>
  <c r="BA344" i="2" s="1"/>
  <c r="AZ343" i="2"/>
  <c r="AY343" i="2"/>
  <c r="AY344" i="2" s="1"/>
  <c r="AX343" i="2"/>
  <c r="AX344" i="2" s="1"/>
  <c r="AW343" i="2"/>
  <c r="AW344" i="2" s="1"/>
  <c r="AV343" i="2"/>
  <c r="AU343" i="2"/>
  <c r="AR343" i="2"/>
  <c r="AO343" i="2"/>
  <c r="AN343" i="2"/>
  <c r="AL343" i="2"/>
  <c r="AK343" i="2"/>
  <c r="W343" i="2"/>
  <c r="V343" i="2"/>
  <c r="U343" i="2"/>
  <c r="T343" i="2"/>
  <c r="AT343" i="2" s="1"/>
  <c r="S343" i="2"/>
  <c r="AS343" i="2" s="1"/>
  <c r="Q343" i="2"/>
  <c r="AQ343" i="2" s="1"/>
  <c r="P343" i="2"/>
  <c r="AP343" i="2" s="1"/>
  <c r="N343" i="2"/>
  <c r="M343" i="2"/>
  <c r="L343" i="2"/>
  <c r="AM343" i="2" s="1"/>
  <c r="K343" i="2"/>
  <c r="J343" i="2"/>
  <c r="I343" i="2"/>
  <c r="F343" i="2"/>
  <c r="BJ342" i="2"/>
  <c r="BI342" i="2"/>
  <c r="BH342" i="2"/>
  <c r="BG342" i="2"/>
  <c r="BF342" i="2"/>
  <c r="BE342" i="2"/>
  <c r="BD342" i="2"/>
  <c r="BC342" i="2"/>
  <c r="BB342" i="2"/>
  <c r="BA342" i="2"/>
  <c r="AZ342" i="2"/>
  <c r="AX342" i="2"/>
  <c r="AU342" i="2"/>
  <c r="AT342" i="2"/>
  <c r="AR342" i="2"/>
  <c r="AQ342" i="2"/>
  <c r="AO342" i="2"/>
  <c r="AN342" i="2"/>
  <c r="AK342" i="2"/>
  <c r="Y342" i="2"/>
  <c r="AY342" i="2" s="1"/>
  <c r="X342" i="2"/>
  <c r="W342" i="2"/>
  <c r="AW342" i="2" s="1"/>
  <c r="V342" i="2"/>
  <c r="AV342" i="2" s="1"/>
  <c r="U342" i="2"/>
  <c r="T342" i="2"/>
  <c r="S342" i="2"/>
  <c r="AS342" i="2" s="1"/>
  <c r="Q342" i="2"/>
  <c r="R342" i="2" s="1"/>
  <c r="P342" i="2"/>
  <c r="AP342" i="2" s="1"/>
  <c r="N342" i="2"/>
  <c r="M342" i="2"/>
  <c r="L342" i="2"/>
  <c r="AM342" i="2" s="1"/>
  <c r="K342" i="2"/>
  <c r="AL342" i="2" s="1"/>
  <c r="J342" i="2"/>
  <c r="I342" i="2"/>
  <c r="F342" i="2"/>
  <c r="BH341" i="2"/>
  <c r="BG341" i="2"/>
  <c r="BE341" i="2"/>
  <c r="BC341" i="2"/>
  <c r="AZ341" i="2"/>
  <c r="AY341" i="2"/>
  <c r="AW341" i="2"/>
  <c r="AU341" i="2"/>
  <c r="AT341" i="2"/>
  <c r="AS341" i="2"/>
  <c r="AR341" i="2"/>
  <c r="AP341" i="2"/>
  <c r="AO341" i="2"/>
  <c r="W341" i="2"/>
  <c r="V341" i="2"/>
  <c r="U341" i="2"/>
  <c r="T341" i="2"/>
  <c r="S341" i="2"/>
  <c r="Q341" i="2"/>
  <c r="AQ341" i="2" s="1"/>
  <c r="P341" i="2"/>
  <c r="N341" i="2"/>
  <c r="M341" i="2"/>
  <c r="AN341" i="2" s="1"/>
  <c r="L341" i="2"/>
  <c r="AM341" i="2" s="1"/>
  <c r="K341" i="2"/>
  <c r="AL341" i="2" s="1"/>
  <c r="J341" i="2"/>
  <c r="AK341" i="2" s="1"/>
  <c r="F341" i="2"/>
  <c r="BJ340" i="2"/>
  <c r="BJ341" i="2" s="1"/>
  <c r="BI340" i="2"/>
  <c r="BI341" i="2" s="1"/>
  <c r="BH340" i="2"/>
  <c r="BG340" i="2"/>
  <c r="BF340" i="2"/>
  <c r="BF341" i="2" s="1"/>
  <c r="BE340" i="2"/>
  <c r="BD340" i="2"/>
  <c r="BD341" i="2" s="1"/>
  <c r="BC340" i="2"/>
  <c r="BB340" i="2"/>
  <c r="BB341" i="2" s="1"/>
  <c r="BA340" i="2"/>
  <c r="BA341" i="2" s="1"/>
  <c r="AZ340" i="2"/>
  <c r="AY340" i="2"/>
  <c r="AX340" i="2"/>
  <c r="AX341" i="2" s="1"/>
  <c r="AW340" i="2"/>
  <c r="AV340" i="2"/>
  <c r="AV341" i="2" s="1"/>
  <c r="AU340" i="2"/>
  <c r="AT340" i="2"/>
  <c r="AS340" i="2"/>
  <c r="AR340" i="2"/>
  <c r="AQ340" i="2"/>
  <c r="AP340" i="2"/>
  <c r="AO340" i="2"/>
  <c r="AN340" i="2"/>
  <c r="AM340" i="2"/>
  <c r="V340" i="2"/>
  <c r="U340" i="2"/>
  <c r="T340" i="2"/>
  <c r="S340" i="2"/>
  <c r="Q340" i="2"/>
  <c r="P340" i="2"/>
  <c r="N340" i="2"/>
  <c r="M340" i="2"/>
  <c r="L340" i="2"/>
  <c r="K340" i="2"/>
  <c r="AL340" i="2" s="1"/>
  <c r="J340" i="2"/>
  <c r="AK340" i="2" s="1"/>
  <c r="I340" i="2"/>
  <c r="F340" i="2"/>
  <c r="BJ339" i="2"/>
  <c r="BK339" i="2" s="1"/>
  <c r="BO339" i="2" s="1"/>
  <c r="BI339" i="2"/>
  <c r="BH339" i="2"/>
  <c r="BG339" i="2"/>
  <c r="BF339" i="2"/>
  <c r="BE339" i="2"/>
  <c r="BD339" i="2"/>
  <c r="BC339" i="2"/>
  <c r="BB339" i="2"/>
  <c r="BA339" i="2"/>
  <c r="AZ339" i="2"/>
  <c r="AY339" i="2"/>
  <c r="AX339" i="2"/>
  <c r="AW339" i="2"/>
  <c r="AV339" i="2"/>
  <c r="AU339" i="2"/>
  <c r="AR339" i="2"/>
  <c r="AQ339" i="2"/>
  <c r="AP339" i="2"/>
  <c r="AO339" i="2"/>
  <c r="AN339" i="2"/>
  <c r="AL339" i="2"/>
  <c r="W339" i="2"/>
  <c r="V339" i="2"/>
  <c r="U339" i="2"/>
  <c r="T339" i="2"/>
  <c r="AT339" i="2" s="1"/>
  <c r="S339" i="2"/>
  <c r="AS339" i="2" s="1"/>
  <c r="Q339" i="2"/>
  <c r="P339" i="2"/>
  <c r="N339" i="2"/>
  <c r="M339" i="2"/>
  <c r="L339" i="2"/>
  <c r="AM339" i="2" s="1"/>
  <c r="K339" i="2"/>
  <c r="J339" i="2"/>
  <c r="AK339" i="2" s="1"/>
  <c r="I339" i="2"/>
  <c r="H339" i="2"/>
  <c r="G339" i="2"/>
  <c r="F339" i="2"/>
  <c r="BJ338" i="2"/>
  <c r="BK338" i="2" s="1"/>
  <c r="BN338" i="2" s="1"/>
  <c r="BI338" i="2"/>
  <c r="BH338" i="2"/>
  <c r="BG338" i="2"/>
  <c r="BF338" i="2"/>
  <c r="BE338" i="2"/>
  <c r="BD338" i="2"/>
  <c r="BC338" i="2"/>
  <c r="BB338" i="2"/>
  <c r="BA338" i="2"/>
  <c r="AZ338" i="2"/>
  <c r="AV338" i="2"/>
  <c r="AU338" i="2"/>
  <c r="AT338" i="2"/>
  <c r="AS338" i="2"/>
  <c r="AR338" i="2"/>
  <c r="AP338" i="2"/>
  <c r="AO338" i="2"/>
  <c r="AL338" i="2"/>
  <c r="Y338" i="2"/>
  <c r="AY338" i="2" s="1"/>
  <c r="X338" i="2"/>
  <c r="AX338" i="2" s="1"/>
  <c r="W338" i="2"/>
  <c r="AW338" i="2" s="1"/>
  <c r="V338" i="2"/>
  <c r="U338" i="2"/>
  <c r="T338" i="2"/>
  <c r="S338" i="2"/>
  <c r="R338" i="2"/>
  <c r="Q338" i="2"/>
  <c r="AQ338" i="2" s="1"/>
  <c r="P338" i="2"/>
  <c r="N338" i="2"/>
  <c r="M338" i="2"/>
  <c r="AN338" i="2" s="1"/>
  <c r="L338" i="2"/>
  <c r="AM338" i="2" s="1"/>
  <c r="K338" i="2"/>
  <c r="J338" i="2"/>
  <c r="AK338" i="2" s="1"/>
  <c r="I338" i="2"/>
  <c r="F338" i="2"/>
  <c r="BD337" i="2"/>
  <c r="AR337" i="2"/>
  <c r="AQ337" i="2"/>
  <c r="AO337" i="2"/>
  <c r="AN337" i="2"/>
  <c r="AM337" i="2"/>
  <c r="AL337" i="2"/>
  <c r="AK337" i="2"/>
  <c r="W337" i="2"/>
  <c r="AW337" i="2" s="1"/>
  <c r="V337" i="2"/>
  <c r="U337" i="2"/>
  <c r="AU337" i="2" s="1"/>
  <c r="T337" i="2"/>
  <c r="AT337" i="2" s="1"/>
  <c r="S337" i="2"/>
  <c r="AS337" i="2" s="1"/>
  <c r="Q337" i="2"/>
  <c r="P337" i="2"/>
  <c r="AP337" i="2" s="1"/>
  <c r="N337" i="2"/>
  <c r="M337" i="2"/>
  <c r="L337" i="2"/>
  <c r="K337" i="2"/>
  <c r="J337" i="2"/>
  <c r="F337" i="2"/>
  <c r="BJ336" i="2"/>
  <c r="BI336" i="2"/>
  <c r="BI337" i="2" s="1"/>
  <c r="BH336" i="2"/>
  <c r="BH337" i="2" s="1"/>
  <c r="BG336" i="2"/>
  <c r="BG337" i="2" s="1"/>
  <c r="BF336" i="2"/>
  <c r="BF337" i="2" s="1"/>
  <c r="BE336" i="2"/>
  <c r="BE337" i="2" s="1"/>
  <c r="BD336" i="2"/>
  <c r="BC336" i="2"/>
  <c r="BC337" i="2" s="1"/>
  <c r="BB336" i="2"/>
  <c r="BB337" i="2" s="1"/>
  <c r="BA336" i="2"/>
  <c r="BA337" i="2" s="1"/>
  <c r="AZ336" i="2"/>
  <c r="AZ337" i="2" s="1"/>
  <c r="AY336" i="2"/>
  <c r="AY337" i="2" s="1"/>
  <c r="AX336" i="2"/>
  <c r="AX337" i="2" s="1"/>
  <c r="AR336" i="2"/>
  <c r="AO336" i="2"/>
  <c r="AM336" i="2"/>
  <c r="AL336" i="2"/>
  <c r="AK336" i="2"/>
  <c r="W336" i="2"/>
  <c r="AW336" i="2" s="1"/>
  <c r="V336" i="2"/>
  <c r="AV336" i="2" s="1"/>
  <c r="AV337" i="2" s="1"/>
  <c r="U336" i="2"/>
  <c r="AU336" i="2" s="1"/>
  <c r="T336" i="2"/>
  <c r="AT336" i="2" s="1"/>
  <c r="S336" i="2"/>
  <c r="AS336" i="2" s="1"/>
  <c r="Q336" i="2"/>
  <c r="AQ336" i="2" s="1"/>
  <c r="P336" i="2"/>
  <c r="AP336" i="2" s="1"/>
  <c r="N336" i="2"/>
  <c r="M336" i="2"/>
  <c r="AN336" i="2" s="1"/>
  <c r="L336" i="2"/>
  <c r="K336" i="2"/>
  <c r="J336" i="2"/>
  <c r="I336" i="2"/>
  <c r="F336" i="2"/>
  <c r="BK335" i="2"/>
  <c r="BN335" i="2" s="1"/>
  <c r="BJ335" i="2"/>
  <c r="BI335" i="2"/>
  <c r="BH335" i="2"/>
  <c r="BG335" i="2"/>
  <c r="BF335" i="2"/>
  <c r="BE335" i="2"/>
  <c r="BD335" i="2"/>
  <c r="BC335" i="2"/>
  <c r="BB335" i="2"/>
  <c r="BA335" i="2"/>
  <c r="AZ335" i="2"/>
  <c r="AY335" i="2"/>
  <c r="AV335" i="2"/>
  <c r="AU335" i="2"/>
  <c r="AS335" i="2"/>
  <c r="AO335" i="2"/>
  <c r="AN335" i="2"/>
  <c r="AL335" i="2"/>
  <c r="AK335" i="2"/>
  <c r="Y335" i="2"/>
  <c r="X335" i="2"/>
  <c r="AX335" i="2" s="1"/>
  <c r="W335" i="2"/>
  <c r="AW335" i="2" s="1"/>
  <c r="V335" i="2"/>
  <c r="U335" i="2"/>
  <c r="T335" i="2"/>
  <c r="AT335" i="2" s="1"/>
  <c r="S335" i="2"/>
  <c r="Q335" i="2"/>
  <c r="P335" i="2"/>
  <c r="AP335" i="2" s="1"/>
  <c r="N335" i="2"/>
  <c r="M335" i="2"/>
  <c r="L335" i="2"/>
  <c r="AM335" i="2" s="1"/>
  <c r="K335" i="2"/>
  <c r="J335" i="2"/>
  <c r="I335" i="2"/>
  <c r="F335" i="2"/>
  <c r="BJ334" i="2"/>
  <c r="BI334" i="2"/>
  <c r="BH334" i="2"/>
  <c r="BG334" i="2"/>
  <c r="BF334" i="2"/>
  <c r="BD334" i="2"/>
  <c r="AZ334" i="2"/>
  <c r="AV334" i="2"/>
  <c r="AU334" i="2"/>
  <c r="AR334" i="2"/>
  <c r="AQ334" i="2"/>
  <c r="AO334" i="2"/>
  <c r="AL334" i="2"/>
  <c r="W334" i="2"/>
  <c r="AW334" i="2" s="1"/>
  <c r="V334" i="2"/>
  <c r="U334" i="2"/>
  <c r="T334" i="2"/>
  <c r="AT334" i="2" s="1"/>
  <c r="S334" i="2"/>
  <c r="AS334" i="2" s="1"/>
  <c r="Q334" i="2"/>
  <c r="P334" i="2"/>
  <c r="AP334" i="2" s="1"/>
  <c r="N334" i="2"/>
  <c r="M334" i="2"/>
  <c r="AN334" i="2" s="1"/>
  <c r="L334" i="2"/>
  <c r="AM334" i="2" s="1"/>
  <c r="K334" i="2"/>
  <c r="J334" i="2"/>
  <c r="AK334" i="2" s="1"/>
  <c r="F334" i="2"/>
  <c r="BJ333" i="2"/>
  <c r="BK333" i="2" s="1"/>
  <c r="BM333" i="2" s="1"/>
  <c r="BI333" i="2"/>
  <c r="BH333" i="2"/>
  <c r="BG333" i="2"/>
  <c r="BF333" i="2"/>
  <c r="BE333" i="2"/>
  <c r="BE334" i="2" s="1"/>
  <c r="BD333" i="2"/>
  <c r="BC333" i="2"/>
  <c r="BC334" i="2" s="1"/>
  <c r="BB333" i="2"/>
  <c r="BB334" i="2" s="1"/>
  <c r="BA333" i="2"/>
  <c r="BA334" i="2" s="1"/>
  <c r="AZ333" i="2"/>
  <c r="AY333" i="2"/>
  <c r="AY334" i="2" s="1"/>
  <c r="AX333" i="2"/>
  <c r="AX334" i="2" s="1"/>
  <c r="AW333" i="2"/>
  <c r="AV333" i="2"/>
  <c r="AU333" i="2"/>
  <c r="AR333" i="2"/>
  <c r="AQ333" i="2"/>
  <c r="AO333" i="2"/>
  <c r="V333" i="2"/>
  <c r="U333" i="2"/>
  <c r="T333" i="2"/>
  <c r="AT333" i="2" s="1"/>
  <c r="S333" i="2"/>
  <c r="AS333" i="2" s="1"/>
  <c r="Q333" i="2"/>
  <c r="P333" i="2"/>
  <c r="AP333" i="2" s="1"/>
  <c r="N333" i="2"/>
  <c r="M333" i="2"/>
  <c r="AN333" i="2" s="1"/>
  <c r="L333" i="2"/>
  <c r="AM333" i="2" s="1"/>
  <c r="K333" i="2"/>
  <c r="AL333" i="2" s="1"/>
  <c r="J333" i="2"/>
  <c r="AK333" i="2" s="1"/>
  <c r="I333" i="2"/>
  <c r="F333" i="2"/>
  <c r="BK332" i="2"/>
  <c r="BN332" i="2" s="1"/>
  <c r="BJ332" i="2"/>
  <c r="BI332" i="2"/>
  <c r="BH332" i="2"/>
  <c r="BG332" i="2"/>
  <c r="BF332" i="2"/>
  <c r="BE332" i="2"/>
  <c r="BD332" i="2"/>
  <c r="BC332" i="2"/>
  <c r="BB332" i="2"/>
  <c r="BA332" i="2"/>
  <c r="AZ332" i="2"/>
  <c r="AY332" i="2"/>
  <c r="AX332" i="2"/>
  <c r="AV332" i="2"/>
  <c r="AU332" i="2"/>
  <c r="AS332" i="2"/>
  <c r="AO332" i="2"/>
  <c r="Y332" i="2"/>
  <c r="X332" i="2"/>
  <c r="W332" i="2"/>
  <c r="AW332" i="2" s="1"/>
  <c r="V332" i="2"/>
  <c r="U332" i="2"/>
  <c r="T332" i="2"/>
  <c r="AT332" i="2" s="1"/>
  <c r="S332" i="2"/>
  <c r="Q332" i="2"/>
  <c r="AQ332" i="2" s="1"/>
  <c r="P332" i="2"/>
  <c r="AP332" i="2" s="1"/>
  <c r="N332" i="2"/>
  <c r="M332" i="2"/>
  <c r="AN332" i="2" s="1"/>
  <c r="L332" i="2"/>
  <c r="AM332" i="2" s="1"/>
  <c r="K332" i="2"/>
  <c r="AL332" i="2" s="1"/>
  <c r="J332" i="2"/>
  <c r="AK332" i="2" s="1"/>
  <c r="I332" i="2"/>
  <c r="F332" i="2"/>
  <c r="BG331" i="2"/>
  <c r="BE331" i="2"/>
  <c r="BD331" i="2"/>
  <c r="BC331" i="2"/>
  <c r="BB331" i="2"/>
  <c r="BA331" i="2"/>
  <c r="AZ331" i="2"/>
  <c r="AX331" i="2"/>
  <c r="AU331" i="2"/>
  <c r="AT331" i="2"/>
  <c r="AS331" i="2"/>
  <c r="AR331" i="2"/>
  <c r="AQ331" i="2"/>
  <c r="AO331" i="2"/>
  <c r="AN331" i="2"/>
  <c r="AM331" i="2"/>
  <c r="W331" i="2"/>
  <c r="V331" i="2"/>
  <c r="U331" i="2"/>
  <c r="T331" i="2"/>
  <c r="S331" i="2"/>
  <c r="Q331" i="2"/>
  <c r="P331" i="2"/>
  <c r="AP331" i="2" s="1"/>
  <c r="N331" i="2"/>
  <c r="M331" i="2"/>
  <c r="L331" i="2"/>
  <c r="K331" i="2"/>
  <c r="AL331" i="2" s="1"/>
  <c r="J331" i="2"/>
  <c r="AK331" i="2" s="1"/>
  <c r="F331" i="2"/>
  <c r="BJ330" i="2"/>
  <c r="BJ331" i="2" s="1"/>
  <c r="BI330" i="2"/>
  <c r="BI331" i="2" s="1"/>
  <c r="BH330" i="2"/>
  <c r="BH331" i="2" s="1"/>
  <c r="BG330" i="2"/>
  <c r="BF330" i="2"/>
  <c r="BF331" i="2" s="1"/>
  <c r="BE330" i="2"/>
  <c r="BD330" i="2"/>
  <c r="BC330" i="2"/>
  <c r="BB330" i="2"/>
  <c r="BA330" i="2"/>
  <c r="AZ330" i="2"/>
  <c r="AY330" i="2"/>
  <c r="AY331" i="2" s="1"/>
  <c r="AX330" i="2"/>
  <c r="AW330" i="2"/>
  <c r="AW331" i="2" s="1"/>
  <c r="AV330" i="2"/>
  <c r="AV331" i="2" s="1"/>
  <c r="AT330" i="2"/>
  <c r="AR330" i="2"/>
  <c r="AO330" i="2"/>
  <c r="AN330" i="2"/>
  <c r="AL330" i="2"/>
  <c r="AK330" i="2"/>
  <c r="W330" i="2"/>
  <c r="V330" i="2"/>
  <c r="U330" i="2"/>
  <c r="AU330" i="2" s="1"/>
  <c r="T330" i="2"/>
  <c r="S330" i="2"/>
  <c r="AS330" i="2" s="1"/>
  <c r="Q330" i="2"/>
  <c r="AQ330" i="2" s="1"/>
  <c r="P330" i="2"/>
  <c r="AP330" i="2" s="1"/>
  <c r="N330" i="2"/>
  <c r="M330" i="2"/>
  <c r="L330" i="2"/>
  <c r="AM330" i="2" s="1"/>
  <c r="K330" i="2"/>
  <c r="J330" i="2"/>
  <c r="I330" i="2"/>
  <c r="F330" i="2"/>
  <c r="BJ329" i="2"/>
  <c r="BI329" i="2"/>
  <c r="BK329" i="2" s="1"/>
  <c r="BO329" i="2" s="1"/>
  <c r="BH329" i="2"/>
  <c r="BG329" i="2"/>
  <c r="BF329" i="2"/>
  <c r="BE329" i="2"/>
  <c r="BD329" i="2"/>
  <c r="BC329" i="2"/>
  <c r="BB329" i="2"/>
  <c r="BA329" i="2"/>
  <c r="AZ329" i="2"/>
  <c r="AY329" i="2"/>
  <c r="AX329" i="2"/>
  <c r="AR329" i="2"/>
  <c r="AQ329" i="2"/>
  <c r="AO329" i="2"/>
  <c r="AN329" i="2"/>
  <c r="AM329" i="2"/>
  <c r="AL329" i="2"/>
  <c r="AK329" i="2"/>
  <c r="W329" i="2"/>
  <c r="AW329" i="2" s="1"/>
  <c r="V329" i="2"/>
  <c r="AV329" i="2" s="1"/>
  <c r="U329" i="2"/>
  <c r="AU329" i="2" s="1"/>
  <c r="T329" i="2"/>
  <c r="AT329" i="2" s="1"/>
  <c r="S329" i="2"/>
  <c r="AS329" i="2" s="1"/>
  <c r="Q329" i="2"/>
  <c r="P329" i="2"/>
  <c r="AP329" i="2" s="1"/>
  <c r="N329" i="2"/>
  <c r="M329" i="2"/>
  <c r="L329" i="2"/>
  <c r="K329" i="2"/>
  <c r="J329" i="2"/>
  <c r="H329" i="2"/>
  <c r="G329" i="2"/>
  <c r="F329" i="2"/>
  <c r="BJ328" i="2"/>
  <c r="BK328" i="2" s="1"/>
  <c r="BN328" i="2" s="1"/>
  <c r="BI328" i="2"/>
  <c r="BH328" i="2"/>
  <c r="BG328" i="2"/>
  <c r="BF328" i="2"/>
  <c r="BE328" i="2"/>
  <c r="BD328" i="2"/>
  <c r="BC328" i="2"/>
  <c r="BB328" i="2"/>
  <c r="BA328" i="2"/>
  <c r="AZ328" i="2"/>
  <c r="AT328" i="2"/>
  <c r="AR328" i="2"/>
  <c r="AQ328" i="2"/>
  <c r="AP328" i="2"/>
  <c r="AO328" i="2"/>
  <c r="AN328" i="2"/>
  <c r="AM328" i="2"/>
  <c r="AK328" i="2"/>
  <c r="Y328" i="2"/>
  <c r="AY328" i="2" s="1"/>
  <c r="X328" i="2"/>
  <c r="AX328" i="2" s="1"/>
  <c r="W328" i="2"/>
  <c r="AW328" i="2" s="1"/>
  <c r="V328" i="2"/>
  <c r="AV328" i="2" s="1"/>
  <c r="U328" i="2"/>
  <c r="AU328" i="2" s="1"/>
  <c r="T328" i="2"/>
  <c r="S328" i="2"/>
  <c r="AS328" i="2" s="1"/>
  <c r="Q328" i="2"/>
  <c r="R328" i="2" s="1"/>
  <c r="P328" i="2"/>
  <c r="N328" i="2"/>
  <c r="M328" i="2"/>
  <c r="L328" i="2"/>
  <c r="K328" i="2"/>
  <c r="AL328" i="2" s="1"/>
  <c r="J328" i="2"/>
  <c r="I328" i="2"/>
  <c r="F328" i="2"/>
  <c r="BJ327" i="2"/>
  <c r="BI327" i="2"/>
  <c r="BH327" i="2"/>
  <c r="BG327" i="2"/>
  <c r="BF327" i="2"/>
  <c r="BE327" i="2"/>
  <c r="BC327" i="2"/>
  <c r="AY327" i="2"/>
  <c r="AW327" i="2"/>
  <c r="AU327" i="2"/>
  <c r="AT327" i="2"/>
  <c r="AR327" i="2"/>
  <c r="AP327" i="2"/>
  <c r="AO327" i="2"/>
  <c r="AM327" i="2"/>
  <c r="AL327" i="2"/>
  <c r="AK327" i="2"/>
  <c r="W327" i="2"/>
  <c r="V327" i="2"/>
  <c r="AV327" i="2" s="1"/>
  <c r="U327" i="2"/>
  <c r="T327" i="2"/>
  <c r="S327" i="2"/>
  <c r="AS327" i="2" s="1"/>
  <c r="Q327" i="2"/>
  <c r="AQ327" i="2" s="1"/>
  <c r="P327" i="2"/>
  <c r="N327" i="2"/>
  <c r="M327" i="2"/>
  <c r="AN327" i="2" s="1"/>
  <c r="L327" i="2"/>
  <c r="K327" i="2"/>
  <c r="J327" i="2"/>
  <c r="F327" i="2"/>
  <c r="BJ326" i="2"/>
  <c r="BK326" i="2" s="1"/>
  <c r="BI326" i="2"/>
  <c r="BH326" i="2"/>
  <c r="BG326" i="2"/>
  <c r="BF326" i="2"/>
  <c r="BE326" i="2"/>
  <c r="BD326" i="2"/>
  <c r="BD327" i="2" s="1"/>
  <c r="BC326" i="2"/>
  <c r="BB326" i="2"/>
  <c r="BB327" i="2" s="1"/>
  <c r="BA326" i="2"/>
  <c r="BA327" i="2" s="1"/>
  <c r="AZ326" i="2"/>
  <c r="AZ327" i="2" s="1"/>
  <c r="AY326" i="2"/>
  <c r="AX326" i="2"/>
  <c r="AX327" i="2" s="1"/>
  <c r="AW326" i="2"/>
  <c r="AV326" i="2"/>
  <c r="AU326" i="2"/>
  <c r="AR326" i="2"/>
  <c r="AQ326" i="2"/>
  <c r="AP326" i="2"/>
  <c r="AO326" i="2"/>
  <c r="AL326" i="2"/>
  <c r="W326" i="2"/>
  <c r="V326" i="2"/>
  <c r="U326" i="2"/>
  <c r="T326" i="2"/>
  <c r="AT326" i="2" s="1"/>
  <c r="S326" i="2"/>
  <c r="AS326" i="2" s="1"/>
  <c r="Q326" i="2"/>
  <c r="P326" i="2"/>
  <c r="N326" i="2"/>
  <c r="M326" i="2"/>
  <c r="AN326" i="2" s="1"/>
  <c r="L326" i="2"/>
  <c r="AM326" i="2" s="1"/>
  <c r="K326" i="2"/>
  <c r="J326" i="2"/>
  <c r="AK326" i="2" s="1"/>
  <c r="I326" i="2"/>
  <c r="F326" i="2"/>
  <c r="BJ325" i="2"/>
  <c r="BK325" i="2" s="1"/>
  <c r="BN325" i="2" s="1"/>
  <c r="BI325" i="2"/>
  <c r="BH325" i="2"/>
  <c r="BG325" i="2"/>
  <c r="BF325" i="2"/>
  <c r="BE325" i="2"/>
  <c r="BD325" i="2"/>
  <c r="BC325" i="2"/>
  <c r="BB325" i="2"/>
  <c r="BA325" i="2"/>
  <c r="AZ325" i="2"/>
  <c r="AY325" i="2"/>
  <c r="AW325" i="2"/>
  <c r="AP325" i="2"/>
  <c r="AO325" i="2"/>
  <c r="AM325" i="2"/>
  <c r="Y325" i="2"/>
  <c r="X325" i="2"/>
  <c r="AX325" i="2" s="1"/>
  <c r="W325" i="2"/>
  <c r="V325" i="2"/>
  <c r="AV325" i="2" s="1"/>
  <c r="U325" i="2"/>
  <c r="AU325" i="2" s="1"/>
  <c r="T325" i="2"/>
  <c r="AT325" i="2" s="1"/>
  <c r="S325" i="2"/>
  <c r="AS325" i="2" s="1"/>
  <c r="R325" i="2"/>
  <c r="AR325" i="2" s="1"/>
  <c r="Q325" i="2"/>
  <c r="AQ325" i="2" s="1"/>
  <c r="P325" i="2"/>
  <c r="N325" i="2"/>
  <c r="M325" i="2"/>
  <c r="AN325" i="2" s="1"/>
  <c r="L325" i="2"/>
  <c r="K325" i="2"/>
  <c r="AL325" i="2" s="1"/>
  <c r="J325" i="2"/>
  <c r="AK325" i="2" s="1"/>
  <c r="I325" i="2"/>
  <c r="F325" i="2"/>
  <c r="BI324" i="2"/>
  <c r="BH324" i="2"/>
  <c r="BF324" i="2"/>
  <c r="BA324" i="2"/>
  <c r="AX324" i="2"/>
  <c r="AV324" i="2"/>
  <c r="AU324" i="2"/>
  <c r="AS324" i="2"/>
  <c r="AR324" i="2"/>
  <c r="AO324" i="2"/>
  <c r="AN324" i="2"/>
  <c r="AK324" i="2"/>
  <c r="W324" i="2"/>
  <c r="V324" i="2"/>
  <c r="U324" i="2"/>
  <c r="T324" i="2"/>
  <c r="AT324" i="2" s="1"/>
  <c r="S324" i="2"/>
  <c r="Q324" i="2"/>
  <c r="AQ324" i="2" s="1"/>
  <c r="P324" i="2"/>
  <c r="AP324" i="2" s="1"/>
  <c r="N324" i="2"/>
  <c r="M324" i="2"/>
  <c r="L324" i="2"/>
  <c r="AM324" i="2" s="1"/>
  <c r="K324" i="2"/>
  <c r="AL324" i="2" s="1"/>
  <c r="J324" i="2"/>
  <c r="F324" i="2"/>
  <c r="BJ323" i="2"/>
  <c r="BI323" i="2"/>
  <c r="BH323" i="2"/>
  <c r="BG323" i="2"/>
  <c r="BG324" i="2" s="1"/>
  <c r="BF323" i="2"/>
  <c r="BE323" i="2"/>
  <c r="BE324" i="2" s="1"/>
  <c r="BD323" i="2"/>
  <c r="BD324" i="2" s="1"/>
  <c r="BC323" i="2"/>
  <c r="BC324" i="2" s="1"/>
  <c r="BB323" i="2"/>
  <c r="BB324" i="2" s="1"/>
  <c r="BA323" i="2"/>
  <c r="AZ323" i="2"/>
  <c r="AZ324" i="2" s="1"/>
  <c r="AY323" i="2"/>
  <c r="AY324" i="2" s="1"/>
  <c r="AX323" i="2"/>
  <c r="AT323" i="2"/>
  <c r="AS323" i="2"/>
  <c r="AR323" i="2"/>
  <c r="AO323" i="2"/>
  <c r="AL323" i="2"/>
  <c r="W323" i="2"/>
  <c r="AW323" i="2" s="1"/>
  <c r="AW324" i="2" s="1"/>
  <c r="V323" i="2"/>
  <c r="AV323" i="2" s="1"/>
  <c r="U323" i="2"/>
  <c r="AU323" i="2" s="1"/>
  <c r="T323" i="2"/>
  <c r="S323" i="2"/>
  <c r="Q323" i="2"/>
  <c r="AQ323" i="2" s="1"/>
  <c r="P323" i="2"/>
  <c r="AP323" i="2" s="1"/>
  <c r="N323" i="2"/>
  <c r="M323" i="2"/>
  <c r="AN323" i="2" s="1"/>
  <c r="L323" i="2"/>
  <c r="AM323" i="2" s="1"/>
  <c r="K323" i="2"/>
  <c r="J323" i="2"/>
  <c r="AK323" i="2" s="1"/>
  <c r="I323" i="2"/>
  <c r="F323" i="2"/>
  <c r="BJ322" i="2"/>
  <c r="BI322" i="2"/>
  <c r="BH322" i="2"/>
  <c r="BG322" i="2"/>
  <c r="BF322" i="2"/>
  <c r="BE322" i="2"/>
  <c r="BD322" i="2"/>
  <c r="BC322" i="2"/>
  <c r="BB322" i="2"/>
  <c r="BA322" i="2"/>
  <c r="AZ322" i="2"/>
  <c r="AY322" i="2"/>
  <c r="AX322" i="2"/>
  <c r="AV322" i="2"/>
  <c r="AP322" i="2"/>
  <c r="AO322" i="2"/>
  <c r="AL322" i="2"/>
  <c r="Y322" i="2"/>
  <c r="X322" i="2"/>
  <c r="W322" i="2"/>
  <c r="AW322" i="2" s="1"/>
  <c r="V322" i="2"/>
  <c r="U322" i="2"/>
  <c r="AU322" i="2" s="1"/>
  <c r="T322" i="2"/>
  <c r="AT322" i="2" s="1"/>
  <c r="S322" i="2"/>
  <c r="AS322" i="2" s="1"/>
  <c r="Q322" i="2"/>
  <c r="P322" i="2"/>
  <c r="N322" i="2"/>
  <c r="M322" i="2"/>
  <c r="AN322" i="2" s="1"/>
  <c r="L322" i="2"/>
  <c r="AM322" i="2" s="1"/>
  <c r="K322" i="2"/>
  <c r="J322" i="2"/>
  <c r="AK322" i="2" s="1"/>
  <c r="I322" i="2"/>
  <c r="F322" i="2"/>
  <c r="BF321" i="2"/>
  <c r="BE321" i="2"/>
  <c r="BD321" i="2"/>
  <c r="BC321" i="2"/>
  <c r="BA321" i="2"/>
  <c r="AX321" i="2"/>
  <c r="AW321" i="2"/>
  <c r="AU321" i="2"/>
  <c r="AT321" i="2"/>
  <c r="AS321" i="2"/>
  <c r="AR321" i="2"/>
  <c r="AQ321" i="2"/>
  <c r="AP321" i="2"/>
  <c r="AO321" i="2"/>
  <c r="AN321" i="2"/>
  <c r="W321" i="2"/>
  <c r="V321" i="2"/>
  <c r="U321" i="2"/>
  <c r="T321" i="2"/>
  <c r="S321" i="2"/>
  <c r="Q321" i="2"/>
  <c r="P321" i="2"/>
  <c r="N321" i="2"/>
  <c r="M321" i="2"/>
  <c r="L321" i="2"/>
  <c r="AM321" i="2" s="1"/>
  <c r="K321" i="2"/>
  <c r="AL321" i="2" s="1"/>
  <c r="J321" i="2"/>
  <c r="AK321" i="2" s="1"/>
  <c r="F321" i="2"/>
  <c r="BJ320" i="2"/>
  <c r="BI320" i="2"/>
  <c r="BI321" i="2" s="1"/>
  <c r="BH320" i="2"/>
  <c r="BH321" i="2" s="1"/>
  <c r="BG320" i="2"/>
  <c r="BG321" i="2" s="1"/>
  <c r="BF320" i="2"/>
  <c r="BE320" i="2"/>
  <c r="BD320" i="2"/>
  <c r="BC320" i="2"/>
  <c r="BB320" i="2"/>
  <c r="BB321" i="2" s="1"/>
  <c r="BA320" i="2"/>
  <c r="AZ320" i="2"/>
  <c r="AZ321" i="2" s="1"/>
  <c r="AY320" i="2"/>
  <c r="AY321" i="2" s="1"/>
  <c r="AX320" i="2"/>
  <c r="AW320" i="2"/>
  <c r="AV320" i="2"/>
  <c r="AU320" i="2"/>
  <c r="AT320" i="2"/>
  <c r="AS320" i="2"/>
  <c r="AR320" i="2"/>
  <c r="AP320" i="2"/>
  <c r="AO320" i="2"/>
  <c r="AN320" i="2"/>
  <c r="AM320" i="2"/>
  <c r="W320" i="2"/>
  <c r="V320" i="2"/>
  <c r="U320" i="2"/>
  <c r="T320" i="2"/>
  <c r="S320" i="2"/>
  <c r="Q320" i="2"/>
  <c r="AQ320" i="2" s="1"/>
  <c r="P320" i="2"/>
  <c r="N320" i="2"/>
  <c r="M320" i="2"/>
  <c r="L320" i="2"/>
  <c r="K320" i="2"/>
  <c r="AL320" i="2" s="1"/>
  <c r="J320" i="2"/>
  <c r="AK320" i="2" s="1"/>
  <c r="I320" i="2"/>
  <c r="F320" i="2"/>
  <c r="BJ319" i="2"/>
  <c r="BK319" i="2" s="1"/>
  <c r="BN319" i="2" s="1"/>
  <c r="BI319" i="2"/>
  <c r="BH319" i="2"/>
  <c r="BG319" i="2"/>
  <c r="BF319" i="2"/>
  <c r="BE319" i="2"/>
  <c r="BD319" i="2"/>
  <c r="BC319" i="2"/>
  <c r="BB319" i="2"/>
  <c r="BA319" i="2"/>
  <c r="AZ319" i="2"/>
  <c r="AY319" i="2"/>
  <c r="AX319" i="2"/>
  <c r="AW319" i="2"/>
  <c r="AV319" i="2"/>
  <c r="AU319" i="2"/>
  <c r="AP319" i="2"/>
  <c r="AO319" i="2"/>
  <c r="AN319" i="2"/>
  <c r="AM319" i="2"/>
  <c r="Y319" i="2"/>
  <c r="X319" i="2"/>
  <c r="W319" i="2"/>
  <c r="V319" i="2"/>
  <c r="U319" i="2"/>
  <c r="T319" i="2"/>
  <c r="AT319" i="2" s="1"/>
  <c r="S319" i="2"/>
  <c r="AS319" i="2" s="1"/>
  <c r="Q319" i="2"/>
  <c r="P319" i="2"/>
  <c r="N319" i="2"/>
  <c r="M319" i="2"/>
  <c r="L319" i="2"/>
  <c r="K319" i="2"/>
  <c r="AL319" i="2" s="1"/>
  <c r="J319" i="2"/>
  <c r="AK319" i="2" s="1"/>
  <c r="I319" i="2"/>
  <c r="F319" i="2"/>
  <c r="BJ318" i="2"/>
  <c r="BF318" i="2"/>
  <c r="BB318" i="2"/>
  <c r="BA318" i="2"/>
  <c r="AZ318" i="2"/>
  <c r="AY318" i="2"/>
  <c r="AU318" i="2"/>
  <c r="AT318" i="2"/>
  <c r="AS318" i="2"/>
  <c r="AR318" i="2"/>
  <c r="AP318" i="2"/>
  <c r="AO318" i="2"/>
  <c r="AM318" i="2"/>
  <c r="AL318" i="2"/>
  <c r="W318" i="2"/>
  <c r="V318" i="2"/>
  <c r="AV318" i="2" s="1"/>
  <c r="U318" i="2"/>
  <c r="T318" i="2"/>
  <c r="S318" i="2"/>
  <c r="Q318" i="2"/>
  <c r="AQ318" i="2" s="1"/>
  <c r="P318" i="2"/>
  <c r="N318" i="2"/>
  <c r="M318" i="2"/>
  <c r="AN318" i="2" s="1"/>
  <c r="L318" i="2"/>
  <c r="K318" i="2"/>
  <c r="J318" i="2"/>
  <c r="AK318" i="2" s="1"/>
  <c r="F318" i="2"/>
  <c r="BK317" i="2"/>
  <c r="BM317" i="2" s="1"/>
  <c r="BJ317" i="2"/>
  <c r="BI317" i="2"/>
  <c r="BI318" i="2" s="1"/>
  <c r="BH317" i="2"/>
  <c r="BH318" i="2" s="1"/>
  <c r="BG317" i="2"/>
  <c r="BG318" i="2" s="1"/>
  <c r="BF317" i="2"/>
  <c r="BE317" i="2"/>
  <c r="BE318" i="2" s="1"/>
  <c r="BD317" i="2"/>
  <c r="BD318" i="2" s="1"/>
  <c r="BC317" i="2"/>
  <c r="BC318" i="2" s="1"/>
  <c r="BB317" i="2"/>
  <c r="BA317" i="2"/>
  <c r="AZ317" i="2"/>
  <c r="AY317" i="2"/>
  <c r="AX317" i="2"/>
  <c r="AX318" i="2" s="1"/>
  <c r="AS317" i="2"/>
  <c r="AR317" i="2"/>
  <c r="AQ317" i="2"/>
  <c r="AO317" i="2"/>
  <c r="AN317" i="2"/>
  <c r="AM317" i="2"/>
  <c r="AK317" i="2"/>
  <c r="W317" i="2"/>
  <c r="AW317" i="2" s="1"/>
  <c r="V317" i="2"/>
  <c r="AV317" i="2" s="1"/>
  <c r="U317" i="2"/>
  <c r="AU317" i="2" s="1"/>
  <c r="T317" i="2"/>
  <c r="AT317" i="2" s="1"/>
  <c r="S317" i="2"/>
  <c r="Q317" i="2"/>
  <c r="P317" i="2"/>
  <c r="AP317" i="2" s="1"/>
  <c r="N317" i="2"/>
  <c r="M317" i="2"/>
  <c r="L317" i="2"/>
  <c r="K317" i="2"/>
  <c r="AL317" i="2" s="1"/>
  <c r="J317" i="2"/>
  <c r="I317" i="2"/>
  <c r="F317" i="2"/>
  <c r="BJ316" i="2"/>
  <c r="BK316" i="2" s="1"/>
  <c r="BN316" i="2" s="1"/>
  <c r="BI316" i="2"/>
  <c r="BH316" i="2"/>
  <c r="BG316" i="2"/>
  <c r="BF316" i="2"/>
  <c r="BE316" i="2"/>
  <c r="BD316" i="2"/>
  <c r="BC316" i="2"/>
  <c r="BB316" i="2"/>
  <c r="BA316" i="2"/>
  <c r="AZ316" i="2"/>
  <c r="AW316" i="2"/>
  <c r="AV316" i="2"/>
  <c r="AQ316" i="2"/>
  <c r="AP316" i="2"/>
  <c r="AO316" i="2"/>
  <c r="AN316" i="2"/>
  <c r="AM316" i="2"/>
  <c r="AL316" i="2"/>
  <c r="AK316" i="2"/>
  <c r="Y316" i="2"/>
  <c r="AY316" i="2" s="1"/>
  <c r="X316" i="2"/>
  <c r="AX316" i="2" s="1"/>
  <c r="W316" i="2"/>
  <c r="V316" i="2"/>
  <c r="U316" i="2"/>
  <c r="AU316" i="2" s="1"/>
  <c r="T316" i="2"/>
  <c r="AT316" i="2" s="1"/>
  <c r="S316" i="2"/>
  <c r="AS316" i="2" s="1"/>
  <c r="R316" i="2"/>
  <c r="AR316" i="2" s="1"/>
  <c r="Q316" i="2"/>
  <c r="P316" i="2"/>
  <c r="N316" i="2"/>
  <c r="M316" i="2"/>
  <c r="L316" i="2"/>
  <c r="K316" i="2"/>
  <c r="J316" i="2"/>
  <c r="I316" i="2"/>
  <c r="F316" i="2"/>
  <c r="BJ315" i="2"/>
  <c r="BI315" i="2"/>
  <c r="BH315" i="2"/>
  <c r="BF315" i="2"/>
  <c r="BA315" i="2"/>
  <c r="AY315" i="2"/>
  <c r="AS315" i="2"/>
  <c r="AR315" i="2"/>
  <c r="AP315" i="2"/>
  <c r="AO315" i="2"/>
  <c r="AN315" i="2"/>
  <c r="AL315" i="2"/>
  <c r="W315" i="2"/>
  <c r="AW315" i="2" s="1"/>
  <c r="V315" i="2"/>
  <c r="AV315" i="2" s="1"/>
  <c r="U315" i="2"/>
  <c r="AU315" i="2" s="1"/>
  <c r="T315" i="2"/>
  <c r="AT315" i="2" s="1"/>
  <c r="S315" i="2"/>
  <c r="Q315" i="2"/>
  <c r="AQ315" i="2" s="1"/>
  <c r="P315" i="2"/>
  <c r="N315" i="2"/>
  <c r="M315" i="2"/>
  <c r="L315" i="2"/>
  <c r="AM315" i="2" s="1"/>
  <c r="K315" i="2"/>
  <c r="J315" i="2"/>
  <c r="AK315" i="2" s="1"/>
  <c r="F315" i="2"/>
  <c r="BK314" i="2"/>
  <c r="BM314" i="2" s="1"/>
  <c r="BJ314" i="2"/>
  <c r="BI314" i="2"/>
  <c r="BH314" i="2"/>
  <c r="BG314" i="2"/>
  <c r="BG315" i="2" s="1"/>
  <c r="BF314" i="2"/>
  <c r="BE314" i="2"/>
  <c r="BE315" i="2" s="1"/>
  <c r="BD314" i="2"/>
  <c r="BD315" i="2" s="1"/>
  <c r="BC314" i="2"/>
  <c r="BC315" i="2" s="1"/>
  <c r="BB314" i="2"/>
  <c r="BB315" i="2" s="1"/>
  <c r="BA314" i="2"/>
  <c r="AZ314" i="2"/>
  <c r="AZ315" i="2" s="1"/>
  <c r="AY314" i="2"/>
  <c r="AX314" i="2"/>
  <c r="AX315" i="2" s="1"/>
  <c r="AT314" i="2"/>
  <c r="AR314" i="2"/>
  <c r="AQ314" i="2"/>
  <c r="AP314" i="2"/>
  <c r="AO314" i="2"/>
  <c r="AM314" i="2"/>
  <c r="AL314" i="2"/>
  <c r="AK314" i="2"/>
  <c r="W314" i="2"/>
  <c r="AW314" i="2" s="1"/>
  <c r="V314" i="2"/>
  <c r="AV314" i="2" s="1"/>
  <c r="U314" i="2"/>
  <c r="AU314" i="2" s="1"/>
  <c r="T314" i="2"/>
  <c r="S314" i="2"/>
  <c r="AS314" i="2" s="1"/>
  <c r="Q314" i="2"/>
  <c r="P314" i="2"/>
  <c r="N314" i="2"/>
  <c r="M314" i="2"/>
  <c r="AN314" i="2" s="1"/>
  <c r="L314" i="2"/>
  <c r="K314" i="2"/>
  <c r="J314" i="2"/>
  <c r="I314" i="2"/>
  <c r="F314" i="2"/>
  <c r="BJ313" i="2"/>
  <c r="BI313" i="2"/>
  <c r="BH313" i="2"/>
  <c r="BG313" i="2"/>
  <c r="BF313" i="2"/>
  <c r="BE313" i="2"/>
  <c r="BD313" i="2"/>
  <c r="BC313" i="2"/>
  <c r="BB313" i="2"/>
  <c r="BA313" i="2"/>
  <c r="AZ313" i="2"/>
  <c r="AY313" i="2"/>
  <c r="AW313" i="2"/>
  <c r="AV313" i="2"/>
  <c r="AS313" i="2"/>
  <c r="AP313" i="2"/>
  <c r="AO313" i="2"/>
  <c r="AN313" i="2"/>
  <c r="AL313" i="2"/>
  <c r="Y313" i="2"/>
  <c r="X313" i="2"/>
  <c r="AX313" i="2" s="1"/>
  <c r="W313" i="2"/>
  <c r="V313" i="2"/>
  <c r="U313" i="2"/>
  <c r="AU313" i="2" s="1"/>
  <c r="T313" i="2"/>
  <c r="AT313" i="2" s="1"/>
  <c r="S313" i="2"/>
  <c r="R313" i="2"/>
  <c r="AR313" i="2" s="1"/>
  <c r="Q313" i="2"/>
  <c r="AQ313" i="2" s="1"/>
  <c r="P313" i="2"/>
  <c r="N313" i="2"/>
  <c r="M313" i="2"/>
  <c r="L313" i="2"/>
  <c r="AM313" i="2" s="1"/>
  <c r="K313" i="2"/>
  <c r="J313" i="2"/>
  <c r="AK313" i="2" s="1"/>
  <c r="I313" i="2"/>
  <c r="F313" i="2"/>
  <c r="BJ312" i="2"/>
  <c r="BH312" i="2"/>
  <c r="BD312" i="2"/>
  <c r="AY312" i="2"/>
  <c r="AX312" i="2"/>
  <c r="AR312" i="2"/>
  <c r="AQ312" i="2"/>
  <c r="AP312" i="2"/>
  <c r="AO312" i="2"/>
  <c r="AN312" i="2"/>
  <c r="AK312" i="2"/>
  <c r="W312" i="2"/>
  <c r="AW312" i="2" s="1"/>
  <c r="V312" i="2"/>
  <c r="AV312" i="2" s="1"/>
  <c r="U312" i="2"/>
  <c r="AU312" i="2" s="1"/>
  <c r="T312" i="2"/>
  <c r="AT312" i="2" s="1"/>
  <c r="S312" i="2"/>
  <c r="AS312" i="2" s="1"/>
  <c r="Q312" i="2"/>
  <c r="P312" i="2"/>
  <c r="N312" i="2"/>
  <c r="M312" i="2"/>
  <c r="L312" i="2"/>
  <c r="AM312" i="2" s="1"/>
  <c r="K312" i="2"/>
  <c r="AL312" i="2" s="1"/>
  <c r="J312" i="2"/>
  <c r="F312" i="2"/>
  <c r="BJ311" i="2"/>
  <c r="BI311" i="2"/>
  <c r="BI312" i="2" s="1"/>
  <c r="BH311" i="2"/>
  <c r="BG311" i="2"/>
  <c r="BG312" i="2" s="1"/>
  <c r="BF311" i="2"/>
  <c r="BF312" i="2" s="1"/>
  <c r="BE311" i="2"/>
  <c r="BE312" i="2" s="1"/>
  <c r="BD311" i="2"/>
  <c r="BC311" i="2"/>
  <c r="BC312" i="2" s="1"/>
  <c r="BB311" i="2"/>
  <c r="BB312" i="2" s="1"/>
  <c r="BA311" i="2"/>
  <c r="BA312" i="2" s="1"/>
  <c r="AZ311" i="2"/>
  <c r="AZ312" i="2" s="1"/>
  <c r="AY311" i="2"/>
  <c r="AX311" i="2"/>
  <c r="AR311" i="2"/>
  <c r="AO311" i="2"/>
  <c r="W311" i="2"/>
  <c r="AW311" i="2" s="1"/>
  <c r="V311" i="2"/>
  <c r="AV311" i="2" s="1"/>
  <c r="U311" i="2"/>
  <c r="AU311" i="2" s="1"/>
  <c r="T311" i="2"/>
  <c r="AT311" i="2" s="1"/>
  <c r="S311" i="2"/>
  <c r="AS311" i="2" s="1"/>
  <c r="Q311" i="2"/>
  <c r="AQ311" i="2" s="1"/>
  <c r="P311" i="2"/>
  <c r="AP311" i="2" s="1"/>
  <c r="N311" i="2"/>
  <c r="M311" i="2"/>
  <c r="AN311" i="2" s="1"/>
  <c r="L311" i="2"/>
  <c r="AM311" i="2" s="1"/>
  <c r="K311" i="2"/>
  <c r="AL311" i="2" s="1"/>
  <c r="J311" i="2"/>
  <c r="AK311" i="2" s="1"/>
  <c r="I311" i="2"/>
  <c r="F311" i="2"/>
  <c r="BJ310" i="2"/>
  <c r="BI310" i="2"/>
  <c r="BH310" i="2"/>
  <c r="BG310" i="2"/>
  <c r="BF310" i="2"/>
  <c r="BE310" i="2"/>
  <c r="BD310" i="2"/>
  <c r="BC310" i="2"/>
  <c r="BB310" i="2"/>
  <c r="BA310" i="2"/>
  <c r="AZ310" i="2"/>
  <c r="AY310" i="2"/>
  <c r="AX310" i="2"/>
  <c r="AW310" i="2"/>
  <c r="AV310" i="2"/>
  <c r="AU310" i="2"/>
  <c r="AT310" i="2"/>
  <c r="AO310" i="2"/>
  <c r="AN310" i="2"/>
  <c r="AL310" i="2"/>
  <c r="AK310" i="2"/>
  <c r="Y310" i="2"/>
  <c r="X310" i="2"/>
  <c r="W310" i="2"/>
  <c r="V310" i="2"/>
  <c r="U310" i="2"/>
  <c r="T310" i="2"/>
  <c r="S310" i="2"/>
  <c r="AS310" i="2" s="1"/>
  <c r="Q310" i="2"/>
  <c r="AQ310" i="2" s="1"/>
  <c r="P310" i="2"/>
  <c r="AP310" i="2" s="1"/>
  <c r="N310" i="2"/>
  <c r="M310" i="2"/>
  <c r="L310" i="2"/>
  <c r="AM310" i="2" s="1"/>
  <c r="K310" i="2"/>
  <c r="J310" i="2"/>
  <c r="I310" i="2"/>
  <c r="F310" i="2"/>
  <c r="BH309" i="2"/>
  <c r="BG309" i="2"/>
  <c r="BF309" i="2"/>
  <c r="BC309" i="2"/>
  <c r="BB309" i="2"/>
  <c r="BA309" i="2"/>
  <c r="AZ309" i="2"/>
  <c r="AY309" i="2"/>
  <c r="AW309" i="2"/>
  <c r="AT309" i="2"/>
  <c r="AS309" i="2"/>
  <c r="AR309" i="2"/>
  <c r="AQ309" i="2"/>
  <c r="AP309" i="2"/>
  <c r="AO309" i="2"/>
  <c r="AN309" i="2"/>
  <c r="AM309" i="2"/>
  <c r="W309" i="2"/>
  <c r="V309" i="2"/>
  <c r="AV309" i="2" s="1"/>
  <c r="U309" i="2"/>
  <c r="AU309" i="2" s="1"/>
  <c r="T309" i="2"/>
  <c r="S309" i="2"/>
  <c r="Q309" i="2"/>
  <c r="P309" i="2"/>
  <c r="N309" i="2"/>
  <c r="M309" i="2"/>
  <c r="L309" i="2"/>
  <c r="K309" i="2"/>
  <c r="AL309" i="2" s="1"/>
  <c r="J309" i="2"/>
  <c r="AK309" i="2" s="1"/>
  <c r="F309" i="2"/>
  <c r="BJ308" i="2"/>
  <c r="BJ309" i="2" s="1"/>
  <c r="BI308" i="2"/>
  <c r="BI309" i="2" s="1"/>
  <c r="BH308" i="2"/>
  <c r="BG308" i="2"/>
  <c r="BF308" i="2"/>
  <c r="BE308" i="2"/>
  <c r="BE309" i="2" s="1"/>
  <c r="BD308" i="2"/>
  <c r="BD309" i="2" s="1"/>
  <c r="BC308" i="2"/>
  <c r="BB308" i="2"/>
  <c r="BA308" i="2"/>
  <c r="AZ308" i="2"/>
  <c r="AY308" i="2"/>
  <c r="AX308" i="2"/>
  <c r="AX309" i="2" s="1"/>
  <c r="AU308" i="2"/>
  <c r="AT308" i="2"/>
  <c r="AR308" i="2"/>
  <c r="AQ308" i="2"/>
  <c r="AP308" i="2"/>
  <c r="AO308" i="2"/>
  <c r="AN308" i="2"/>
  <c r="AM308" i="2"/>
  <c r="AK308" i="2"/>
  <c r="W308" i="2"/>
  <c r="AW308" i="2" s="1"/>
  <c r="V308" i="2"/>
  <c r="AV308" i="2" s="1"/>
  <c r="U308" i="2"/>
  <c r="T308" i="2"/>
  <c r="S308" i="2"/>
  <c r="AS308" i="2" s="1"/>
  <c r="Q308" i="2"/>
  <c r="P308" i="2"/>
  <c r="N308" i="2"/>
  <c r="M308" i="2"/>
  <c r="L308" i="2"/>
  <c r="K308" i="2"/>
  <c r="AL308" i="2" s="1"/>
  <c r="J308" i="2"/>
  <c r="I308" i="2"/>
  <c r="F308" i="2"/>
  <c r="BJ307" i="2"/>
  <c r="BK307" i="2" s="1"/>
  <c r="BN307" i="2" s="1"/>
  <c r="BI307" i="2"/>
  <c r="BH307" i="2"/>
  <c r="BG307" i="2"/>
  <c r="BF307" i="2"/>
  <c r="BE307" i="2"/>
  <c r="BD307" i="2"/>
  <c r="BC307" i="2"/>
  <c r="BB307" i="2"/>
  <c r="BA307" i="2"/>
  <c r="AZ307" i="2"/>
  <c r="AX307" i="2"/>
  <c r="AW307" i="2"/>
  <c r="AU307" i="2"/>
  <c r="AT307" i="2"/>
  <c r="AS307" i="2"/>
  <c r="AR307" i="2"/>
  <c r="AQ307" i="2"/>
  <c r="AP307" i="2"/>
  <c r="AO307" i="2"/>
  <c r="AN307" i="2"/>
  <c r="AM307" i="2"/>
  <c r="AL307" i="2"/>
  <c r="Y307" i="2"/>
  <c r="AY307" i="2" s="1"/>
  <c r="X307" i="2"/>
  <c r="W307" i="2"/>
  <c r="V307" i="2"/>
  <c r="AV307" i="2" s="1"/>
  <c r="U307" i="2"/>
  <c r="T307" i="2"/>
  <c r="S307" i="2"/>
  <c r="R307" i="2"/>
  <c r="Q307" i="2"/>
  <c r="P307" i="2"/>
  <c r="N307" i="2"/>
  <c r="M307" i="2"/>
  <c r="L307" i="2"/>
  <c r="K307" i="2"/>
  <c r="J307" i="2"/>
  <c r="AK307" i="2" s="1"/>
  <c r="I307" i="2"/>
  <c r="F307" i="2"/>
  <c r="BK306" i="2"/>
  <c r="BP306" i="2" s="1"/>
  <c r="BH306" i="2"/>
  <c r="BF306" i="2"/>
  <c r="BC306" i="2"/>
  <c r="BB306" i="2"/>
  <c r="AZ306" i="2"/>
  <c r="AY306" i="2"/>
  <c r="AU306" i="2"/>
  <c r="AS306" i="2"/>
  <c r="AR306" i="2"/>
  <c r="AO306" i="2"/>
  <c r="AL306" i="2"/>
  <c r="W306" i="2"/>
  <c r="V306" i="2"/>
  <c r="U306" i="2"/>
  <c r="T306" i="2"/>
  <c r="AT306" i="2" s="1"/>
  <c r="S306" i="2"/>
  <c r="Q306" i="2"/>
  <c r="AQ306" i="2" s="1"/>
  <c r="P306" i="2"/>
  <c r="AP306" i="2" s="1"/>
  <c r="N306" i="2"/>
  <c r="M306" i="2"/>
  <c r="AN306" i="2" s="1"/>
  <c r="L306" i="2"/>
  <c r="AM306" i="2" s="1"/>
  <c r="K306" i="2"/>
  <c r="J306" i="2"/>
  <c r="AK306" i="2" s="1"/>
  <c r="F306" i="2"/>
  <c r="BK305" i="2"/>
  <c r="BJ305" i="2"/>
  <c r="BJ306" i="2" s="1"/>
  <c r="BI305" i="2"/>
  <c r="BI306" i="2" s="1"/>
  <c r="BH305" i="2"/>
  <c r="BG305" i="2"/>
  <c r="BG306" i="2" s="1"/>
  <c r="BF305" i="2"/>
  <c r="BE305" i="2"/>
  <c r="BE306" i="2" s="1"/>
  <c r="BD305" i="2"/>
  <c r="BD306" i="2" s="1"/>
  <c r="BC305" i="2"/>
  <c r="BB305" i="2"/>
  <c r="BA305" i="2"/>
  <c r="BA306" i="2" s="1"/>
  <c r="AZ305" i="2"/>
  <c r="AY305" i="2"/>
  <c r="AX305" i="2"/>
  <c r="AX306" i="2" s="1"/>
  <c r="AW305" i="2"/>
  <c r="AW306" i="2" s="1"/>
  <c r="AS305" i="2"/>
  <c r="AR305" i="2"/>
  <c r="AQ305" i="2"/>
  <c r="AP305" i="2"/>
  <c r="AO305" i="2"/>
  <c r="AM305" i="2"/>
  <c r="W305" i="2"/>
  <c r="V305" i="2"/>
  <c r="AV305" i="2" s="1"/>
  <c r="AV306" i="2" s="1"/>
  <c r="U305" i="2"/>
  <c r="AU305" i="2" s="1"/>
  <c r="T305" i="2"/>
  <c r="AT305" i="2" s="1"/>
  <c r="S305" i="2"/>
  <c r="Q305" i="2"/>
  <c r="P305" i="2"/>
  <c r="N305" i="2"/>
  <c r="M305" i="2"/>
  <c r="AN305" i="2" s="1"/>
  <c r="L305" i="2"/>
  <c r="K305" i="2"/>
  <c r="AL305" i="2" s="1"/>
  <c r="J305" i="2"/>
  <c r="AK305" i="2" s="1"/>
  <c r="I305" i="2"/>
  <c r="F305" i="2"/>
  <c r="BJ304" i="2"/>
  <c r="BK304" i="2" s="1"/>
  <c r="BN304" i="2" s="1"/>
  <c r="BI304" i="2"/>
  <c r="BH304" i="2"/>
  <c r="BG304" i="2"/>
  <c r="BF304" i="2"/>
  <c r="BE304" i="2"/>
  <c r="BD304" i="2"/>
  <c r="BC304" i="2"/>
  <c r="BB304" i="2"/>
  <c r="BA304" i="2"/>
  <c r="AZ304" i="2"/>
  <c r="AW304" i="2"/>
  <c r="AV304" i="2"/>
  <c r="AS304" i="2"/>
  <c r="AR304" i="2"/>
  <c r="AP304" i="2"/>
  <c r="AO304" i="2"/>
  <c r="AL304" i="2"/>
  <c r="Y304" i="2"/>
  <c r="AY304" i="2" s="1"/>
  <c r="X304" i="2"/>
  <c r="AX304" i="2" s="1"/>
  <c r="W304" i="2"/>
  <c r="V304" i="2"/>
  <c r="U304" i="2"/>
  <c r="AU304" i="2" s="1"/>
  <c r="T304" i="2"/>
  <c r="AT304" i="2" s="1"/>
  <c r="S304" i="2"/>
  <c r="R304" i="2"/>
  <c r="Q304" i="2"/>
  <c r="AQ304" i="2" s="1"/>
  <c r="P304" i="2"/>
  <c r="N304" i="2"/>
  <c r="M304" i="2"/>
  <c r="AN304" i="2" s="1"/>
  <c r="L304" i="2"/>
  <c r="AM304" i="2" s="1"/>
  <c r="K304" i="2"/>
  <c r="J304" i="2"/>
  <c r="AK304" i="2" s="1"/>
  <c r="I304" i="2"/>
  <c r="F304" i="2"/>
  <c r="BH303" i="2"/>
  <c r="BG303" i="2"/>
  <c r="BF303" i="2"/>
  <c r="BD303" i="2"/>
  <c r="BB303" i="2"/>
  <c r="AW303" i="2"/>
  <c r="AU303" i="2"/>
  <c r="AR303" i="2"/>
  <c r="AO303" i="2"/>
  <c r="AN303" i="2"/>
  <c r="AM303" i="2"/>
  <c r="AL303" i="2"/>
  <c r="AK303" i="2"/>
  <c r="W303" i="2"/>
  <c r="V303" i="2"/>
  <c r="U303" i="2"/>
  <c r="T303" i="2"/>
  <c r="AT303" i="2" s="1"/>
  <c r="S303" i="2"/>
  <c r="AS303" i="2" s="1"/>
  <c r="Q303" i="2"/>
  <c r="AQ303" i="2" s="1"/>
  <c r="P303" i="2"/>
  <c r="AP303" i="2" s="1"/>
  <c r="N303" i="2"/>
  <c r="M303" i="2"/>
  <c r="L303" i="2"/>
  <c r="K303" i="2"/>
  <c r="J303" i="2"/>
  <c r="F303" i="2"/>
  <c r="BJ302" i="2"/>
  <c r="BI302" i="2"/>
  <c r="BI303" i="2" s="1"/>
  <c r="BH302" i="2"/>
  <c r="BG302" i="2"/>
  <c r="BF302" i="2"/>
  <c r="BE302" i="2"/>
  <c r="BE303" i="2" s="1"/>
  <c r="BD302" i="2"/>
  <c r="BC302" i="2"/>
  <c r="BC303" i="2" s="1"/>
  <c r="BB302" i="2"/>
  <c r="BA302" i="2"/>
  <c r="BA303" i="2" s="1"/>
  <c r="AZ302" i="2"/>
  <c r="AZ303" i="2" s="1"/>
  <c r="AY302" i="2"/>
  <c r="AY303" i="2" s="1"/>
  <c r="AX302" i="2"/>
  <c r="AX303" i="2" s="1"/>
  <c r="AW302" i="2"/>
  <c r="AR302" i="2"/>
  <c r="AP302" i="2"/>
  <c r="AO302" i="2"/>
  <c r="AN302" i="2"/>
  <c r="AM302" i="2"/>
  <c r="AL302" i="2"/>
  <c r="AK302" i="2"/>
  <c r="W302" i="2"/>
  <c r="V302" i="2"/>
  <c r="AV302" i="2" s="1"/>
  <c r="AV303" i="2" s="1"/>
  <c r="U302" i="2"/>
  <c r="AU302" i="2" s="1"/>
  <c r="T302" i="2"/>
  <c r="AT302" i="2" s="1"/>
  <c r="S302" i="2"/>
  <c r="AS302" i="2" s="1"/>
  <c r="Q302" i="2"/>
  <c r="AQ302" i="2" s="1"/>
  <c r="P302" i="2"/>
  <c r="N302" i="2"/>
  <c r="M302" i="2"/>
  <c r="L302" i="2"/>
  <c r="K302" i="2"/>
  <c r="J302" i="2"/>
  <c r="I302" i="2"/>
  <c r="F302" i="2"/>
  <c r="BJ301" i="2"/>
  <c r="BI301" i="2"/>
  <c r="BH301" i="2"/>
  <c r="BG301" i="2"/>
  <c r="BF301" i="2"/>
  <c r="BE301" i="2"/>
  <c r="BD301" i="2"/>
  <c r="BC301" i="2"/>
  <c r="BB301" i="2"/>
  <c r="BA301" i="2"/>
  <c r="AZ301" i="2"/>
  <c r="AU301" i="2"/>
  <c r="AS301" i="2"/>
  <c r="AP301" i="2"/>
  <c r="AO301" i="2"/>
  <c r="AN301" i="2"/>
  <c r="AL301" i="2"/>
  <c r="AK301" i="2"/>
  <c r="Y301" i="2"/>
  <c r="AY301" i="2" s="1"/>
  <c r="X301" i="2"/>
  <c r="AX301" i="2" s="1"/>
  <c r="W301" i="2"/>
  <c r="AW301" i="2" s="1"/>
  <c r="V301" i="2"/>
  <c r="AV301" i="2" s="1"/>
  <c r="U301" i="2"/>
  <c r="T301" i="2"/>
  <c r="AT301" i="2" s="1"/>
  <c r="S301" i="2"/>
  <c r="Q301" i="2"/>
  <c r="P301" i="2"/>
  <c r="N301" i="2"/>
  <c r="M301" i="2"/>
  <c r="L301" i="2"/>
  <c r="AM301" i="2" s="1"/>
  <c r="K301" i="2"/>
  <c r="J301" i="2"/>
  <c r="I301" i="2"/>
  <c r="F301" i="2"/>
  <c r="BJ300" i="2"/>
  <c r="BI300" i="2"/>
  <c r="BH300" i="2"/>
  <c r="BF300" i="2"/>
  <c r="BD300" i="2"/>
  <c r="BA300" i="2"/>
  <c r="AZ300" i="2"/>
  <c r="AU300" i="2"/>
  <c r="AR300" i="2"/>
  <c r="AQ300" i="2"/>
  <c r="AO300" i="2"/>
  <c r="AN300" i="2"/>
  <c r="AM300" i="2"/>
  <c r="AL300" i="2"/>
  <c r="W300" i="2"/>
  <c r="V300" i="2"/>
  <c r="U300" i="2"/>
  <c r="T300" i="2"/>
  <c r="AT300" i="2" s="1"/>
  <c r="S300" i="2"/>
  <c r="AS300" i="2" s="1"/>
  <c r="Q300" i="2"/>
  <c r="P300" i="2"/>
  <c r="AP300" i="2" s="1"/>
  <c r="N300" i="2"/>
  <c r="M300" i="2"/>
  <c r="L300" i="2"/>
  <c r="K300" i="2"/>
  <c r="J300" i="2"/>
  <c r="AK300" i="2" s="1"/>
  <c r="F300" i="2"/>
  <c r="BJ299" i="2"/>
  <c r="BI299" i="2"/>
  <c r="BK299" i="2" s="1"/>
  <c r="BM299" i="2" s="1"/>
  <c r="BH299" i="2"/>
  <c r="BG299" i="2"/>
  <c r="BG300" i="2" s="1"/>
  <c r="BF299" i="2"/>
  <c r="BE299" i="2"/>
  <c r="BE300" i="2" s="1"/>
  <c r="BD299" i="2"/>
  <c r="BC299" i="2"/>
  <c r="BC300" i="2" s="1"/>
  <c r="BB299" i="2"/>
  <c r="BB300" i="2" s="1"/>
  <c r="BA299" i="2"/>
  <c r="AZ299" i="2"/>
  <c r="AY299" i="2"/>
  <c r="AY300" i="2" s="1"/>
  <c r="AX299" i="2"/>
  <c r="AX300" i="2" s="1"/>
  <c r="AW299" i="2"/>
  <c r="AV299" i="2"/>
  <c r="AV300" i="2" s="1"/>
  <c r="AR299" i="2"/>
  <c r="AO299" i="2"/>
  <c r="AK299" i="2"/>
  <c r="W299" i="2"/>
  <c r="V299" i="2"/>
  <c r="U299" i="2"/>
  <c r="AU299" i="2" s="1"/>
  <c r="T299" i="2"/>
  <c r="AT299" i="2" s="1"/>
  <c r="S299" i="2"/>
  <c r="AS299" i="2" s="1"/>
  <c r="Q299" i="2"/>
  <c r="AQ299" i="2" s="1"/>
  <c r="P299" i="2"/>
  <c r="AP299" i="2" s="1"/>
  <c r="N299" i="2"/>
  <c r="M299" i="2"/>
  <c r="AN299" i="2" s="1"/>
  <c r="L299" i="2"/>
  <c r="AM299" i="2" s="1"/>
  <c r="K299" i="2"/>
  <c r="AL299" i="2" s="1"/>
  <c r="J299" i="2"/>
  <c r="I299" i="2"/>
  <c r="F299" i="2"/>
  <c r="BJ298" i="2"/>
  <c r="BK298" i="2" s="1"/>
  <c r="BN298" i="2" s="1"/>
  <c r="BI298" i="2"/>
  <c r="BH298" i="2"/>
  <c r="BG298" i="2"/>
  <c r="BF298" i="2"/>
  <c r="BE298" i="2"/>
  <c r="BD298" i="2"/>
  <c r="BC298" i="2"/>
  <c r="BB298" i="2"/>
  <c r="BA298" i="2"/>
  <c r="AZ298" i="2"/>
  <c r="AY298" i="2"/>
  <c r="AX298" i="2"/>
  <c r="AW298" i="2"/>
  <c r="AU298" i="2"/>
  <c r="AT298" i="2"/>
  <c r="AS298" i="2"/>
  <c r="AQ298" i="2"/>
  <c r="AO298" i="2"/>
  <c r="AK298" i="2"/>
  <c r="Y298" i="2"/>
  <c r="X298" i="2"/>
  <c r="W298" i="2"/>
  <c r="V298" i="2"/>
  <c r="AV298" i="2" s="1"/>
  <c r="U298" i="2"/>
  <c r="T298" i="2"/>
  <c r="S298" i="2"/>
  <c r="R298" i="2"/>
  <c r="AR298" i="2" s="1"/>
  <c r="Q298" i="2"/>
  <c r="P298" i="2"/>
  <c r="AP298" i="2" s="1"/>
  <c r="N298" i="2"/>
  <c r="M298" i="2"/>
  <c r="AN298" i="2" s="1"/>
  <c r="L298" i="2"/>
  <c r="AM298" i="2" s="1"/>
  <c r="K298" i="2"/>
  <c r="AL298" i="2" s="1"/>
  <c r="J298" i="2"/>
  <c r="I298" i="2"/>
  <c r="F298" i="2"/>
  <c r="BI297" i="2"/>
  <c r="BG297" i="2"/>
  <c r="BF297" i="2"/>
  <c r="BB297" i="2"/>
  <c r="AX297" i="2"/>
  <c r="AU297" i="2"/>
  <c r="AT297" i="2"/>
  <c r="AS297" i="2"/>
  <c r="AR297" i="2"/>
  <c r="AO297" i="2"/>
  <c r="AL297" i="2"/>
  <c r="AK297" i="2"/>
  <c r="W297" i="2"/>
  <c r="AW297" i="2" s="1"/>
  <c r="V297" i="2"/>
  <c r="U297" i="2"/>
  <c r="T297" i="2"/>
  <c r="S297" i="2"/>
  <c r="Q297" i="2"/>
  <c r="AQ297" i="2" s="1"/>
  <c r="P297" i="2"/>
  <c r="AP297" i="2" s="1"/>
  <c r="N297" i="2"/>
  <c r="M297" i="2"/>
  <c r="AN297" i="2" s="1"/>
  <c r="L297" i="2"/>
  <c r="AM297" i="2" s="1"/>
  <c r="K297" i="2"/>
  <c r="J297" i="2"/>
  <c r="F297" i="2"/>
  <c r="BJ296" i="2"/>
  <c r="BJ297" i="2" s="1"/>
  <c r="BK297" i="2" s="1"/>
  <c r="BP297" i="2" s="1"/>
  <c r="BI296" i="2"/>
  <c r="BH296" i="2"/>
  <c r="BH297" i="2" s="1"/>
  <c r="BG296" i="2"/>
  <c r="BF296" i="2"/>
  <c r="BE296" i="2"/>
  <c r="BE297" i="2" s="1"/>
  <c r="BD296" i="2"/>
  <c r="BD297" i="2" s="1"/>
  <c r="BC296" i="2"/>
  <c r="BC297" i="2" s="1"/>
  <c r="BB296" i="2"/>
  <c r="BA296" i="2"/>
  <c r="BA297" i="2" s="1"/>
  <c r="AZ296" i="2"/>
  <c r="AZ297" i="2" s="1"/>
  <c r="AY296" i="2"/>
  <c r="AY297" i="2" s="1"/>
  <c r="AX296" i="2"/>
  <c r="AU296" i="2"/>
  <c r="AR296" i="2"/>
  <c r="AO296" i="2"/>
  <c r="AM296" i="2"/>
  <c r="AK296" i="2"/>
  <c r="W296" i="2"/>
  <c r="AW296" i="2" s="1"/>
  <c r="V296" i="2"/>
  <c r="AV296" i="2" s="1"/>
  <c r="U296" i="2"/>
  <c r="T296" i="2"/>
  <c r="AT296" i="2" s="1"/>
  <c r="S296" i="2"/>
  <c r="AS296" i="2" s="1"/>
  <c r="Q296" i="2"/>
  <c r="AQ296" i="2" s="1"/>
  <c r="P296" i="2"/>
  <c r="AP296" i="2" s="1"/>
  <c r="N296" i="2"/>
  <c r="M296" i="2"/>
  <c r="AN296" i="2" s="1"/>
  <c r="L296" i="2"/>
  <c r="K296" i="2"/>
  <c r="AL296" i="2" s="1"/>
  <c r="J296" i="2"/>
  <c r="I296" i="2"/>
  <c r="F296" i="2"/>
  <c r="BO295" i="2"/>
  <c r="BK295" i="2"/>
  <c r="BJ295" i="2"/>
  <c r="BI295" i="2"/>
  <c r="BH295" i="2"/>
  <c r="BG295" i="2"/>
  <c r="BF295" i="2"/>
  <c r="BE295" i="2"/>
  <c r="BD295" i="2"/>
  <c r="BC295" i="2"/>
  <c r="BB295" i="2"/>
  <c r="BA295" i="2"/>
  <c r="AZ295" i="2"/>
  <c r="AY295" i="2"/>
  <c r="AX295" i="2"/>
  <c r="AW295" i="2"/>
  <c r="AR295" i="2"/>
  <c r="AP295" i="2"/>
  <c r="AO295" i="2"/>
  <c r="AN295" i="2"/>
  <c r="AM295" i="2"/>
  <c r="W295" i="2"/>
  <c r="V295" i="2"/>
  <c r="AV295" i="2" s="1"/>
  <c r="U295" i="2"/>
  <c r="AU295" i="2" s="1"/>
  <c r="T295" i="2"/>
  <c r="AT295" i="2" s="1"/>
  <c r="S295" i="2"/>
  <c r="AS295" i="2" s="1"/>
  <c r="Q295" i="2"/>
  <c r="AQ295" i="2" s="1"/>
  <c r="P295" i="2"/>
  <c r="N295" i="2"/>
  <c r="M295" i="2"/>
  <c r="L295" i="2"/>
  <c r="K295" i="2"/>
  <c r="AL295" i="2" s="1"/>
  <c r="J295" i="2"/>
  <c r="AK295" i="2" s="1"/>
  <c r="H295" i="2"/>
  <c r="G295" i="2"/>
  <c r="F295" i="2"/>
  <c r="BK294" i="2"/>
  <c r="BN294" i="2" s="1"/>
  <c r="BJ294" i="2"/>
  <c r="BI294" i="2"/>
  <c r="BH294" i="2"/>
  <c r="BG294" i="2"/>
  <c r="BF294" i="2"/>
  <c r="BE294" i="2"/>
  <c r="BD294" i="2"/>
  <c r="BC294" i="2"/>
  <c r="BB294" i="2"/>
  <c r="BA294" i="2"/>
  <c r="AZ294" i="2"/>
  <c r="AW294" i="2"/>
  <c r="AV294" i="2"/>
  <c r="AT294" i="2"/>
  <c r="AS294" i="2"/>
  <c r="AP294" i="2"/>
  <c r="AO294" i="2"/>
  <c r="AM294" i="2"/>
  <c r="Y294" i="2"/>
  <c r="AY294" i="2" s="1"/>
  <c r="X294" i="2"/>
  <c r="AX294" i="2" s="1"/>
  <c r="W294" i="2"/>
  <c r="V294" i="2"/>
  <c r="U294" i="2"/>
  <c r="AU294" i="2" s="1"/>
  <c r="T294" i="2"/>
  <c r="S294" i="2"/>
  <c r="Q294" i="2"/>
  <c r="AQ294" i="2" s="1"/>
  <c r="P294" i="2"/>
  <c r="N294" i="2"/>
  <c r="M294" i="2"/>
  <c r="AN294" i="2" s="1"/>
  <c r="L294" i="2"/>
  <c r="K294" i="2"/>
  <c r="AL294" i="2" s="1"/>
  <c r="J294" i="2"/>
  <c r="AK294" i="2" s="1"/>
  <c r="I294" i="2"/>
  <c r="F294" i="2"/>
  <c r="BG293" i="2"/>
  <c r="BE293" i="2"/>
  <c r="BB293" i="2"/>
  <c r="BA293" i="2"/>
  <c r="AU293" i="2"/>
  <c r="AT293" i="2"/>
  <c r="AR293" i="2"/>
  <c r="AO293" i="2"/>
  <c r="AK293" i="2"/>
  <c r="W293" i="2"/>
  <c r="V293" i="2"/>
  <c r="U293" i="2"/>
  <c r="T293" i="2"/>
  <c r="S293" i="2"/>
  <c r="AS293" i="2" s="1"/>
  <c r="Q293" i="2"/>
  <c r="AQ293" i="2" s="1"/>
  <c r="P293" i="2"/>
  <c r="AP293" i="2" s="1"/>
  <c r="N293" i="2"/>
  <c r="M293" i="2"/>
  <c r="AN293" i="2" s="1"/>
  <c r="L293" i="2"/>
  <c r="AM293" i="2" s="1"/>
  <c r="K293" i="2"/>
  <c r="AL293" i="2" s="1"/>
  <c r="J293" i="2"/>
  <c r="F293" i="2"/>
  <c r="BJ292" i="2"/>
  <c r="BJ293" i="2" s="1"/>
  <c r="BI292" i="2"/>
  <c r="BH292" i="2"/>
  <c r="BH293" i="2" s="1"/>
  <c r="BG292" i="2"/>
  <c r="BF292" i="2"/>
  <c r="BF293" i="2" s="1"/>
  <c r="BE292" i="2"/>
  <c r="BD292" i="2"/>
  <c r="BD293" i="2" s="1"/>
  <c r="BC292" i="2"/>
  <c r="BC293" i="2" s="1"/>
  <c r="BB292" i="2"/>
  <c r="BA292" i="2"/>
  <c r="AZ292" i="2"/>
  <c r="AZ293" i="2" s="1"/>
  <c r="AY292" i="2"/>
  <c r="AY293" i="2" s="1"/>
  <c r="AX292" i="2"/>
  <c r="AX293" i="2" s="1"/>
  <c r="AW292" i="2"/>
  <c r="AW293" i="2" s="1"/>
  <c r="AV292" i="2"/>
  <c r="AV293" i="2" s="1"/>
  <c r="AU292" i="2"/>
  <c r="AS292" i="2"/>
  <c r="AR292" i="2"/>
  <c r="AQ292" i="2"/>
  <c r="AO292" i="2"/>
  <c r="AL292" i="2"/>
  <c r="W292" i="2"/>
  <c r="V292" i="2"/>
  <c r="U292" i="2"/>
  <c r="T292" i="2"/>
  <c r="AT292" i="2" s="1"/>
  <c r="S292" i="2"/>
  <c r="Q292" i="2"/>
  <c r="P292" i="2"/>
  <c r="AP292" i="2" s="1"/>
  <c r="N292" i="2"/>
  <c r="M292" i="2"/>
  <c r="AN292" i="2" s="1"/>
  <c r="L292" i="2"/>
  <c r="AM292" i="2" s="1"/>
  <c r="K292" i="2"/>
  <c r="J292" i="2"/>
  <c r="AK292" i="2" s="1"/>
  <c r="I292" i="2"/>
  <c r="F292" i="2"/>
  <c r="BJ291" i="2"/>
  <c r="BI291" i="2"/>
  <c r="BK291" i="2" s="1"/>
  <c r="BN291" i="2" s="1"/>
  <c r="BH291" i="2"/>
  <c r="BG291" i="2"/>
  <c r="BF291" i="2"/>
  <c r="BE291" i="2"/>
  <c r="BD291" i="2"/>
  <c r="BC291" i="2"/>
  <c r="BB291" i="2"/>
  <c r="BA291" i="2"/>
  <c r="AZ291" i="2"/>
  <c r="AY291" i="2"/>
  <c r="AV291" i="2"/>
  <c r="AU291" i="2"/>
  <c r="AT291" i="2"/>
  <c r="AS291" i="2"/>
  <c r="AO291" i="2"/>
  <c r="AK291" i="2"/>
  <c r="Y291" i="2"/>
  <c r="X291" i="2"/>
  <c r="AX291" i="2" s="1"/>
  <c r="W291" i="2"/>
  <c r="AW291" i="2" s="1"/>
  <c r="V291" i="2"/>
  <c r="U291" i="2"/>
  <c r="T291" i="2"/>
  <c r="S291" i="2"/>
  <c r="Q291" i="2"/>
  <c r="P291" i="2"/>
  <c r="AP291" i="2" s="1"/>
  <c r="N291" i="2"/>
  <c r="M291" i="2"/>
  <c r="AN291" i="2" s="1"/>
  <c r="L291" i="2"/>
  <c r="AM291" i="2" s="1"/>
  <c r="K291" i="2"/>
  <c r="AL291" i="2" s="1"/>
  <c r="J291" i="2"/>
  <c r="I291" i="2"/>
  <c r="F291" i="2"/>
  <c r="BJ290" i="2"/>
  <c r="BK290" i="2" s="1"/>
  <c r="BP290" i="2" s="1"/>
  <c r="BG290" i="2"/>
  <c r="BF290" i="2"/>
  <c r="BE290" i="2"/>
  <c r="BC290" i="2"/>
  <c r="AU290" i="2"/>
  <c r="AT290" i="2"/>
  <c r="AR290" i="2"/>
  <c r="AQ290" i="2"/>
  <c r="AP290" i="2"/>
  <c r="AO290" i="2"/>
  <c r="AN290" i="2"/>
  <c r="AM290" i="2"/>
  <c r="AK290" i="2"/>
  <c r="W290" i="2"/>
  <c r="V290" i="2"/>
  <c r="AV290" i="2" s="1"/>
  <c r="U290" i="2"/>
  <c r="T290" i="2"/>
  <c r="S290" i="2"/>
  <c r="AS290" i="2" s="1"/>
  <c r="Q290" i="2"/>
  <c r="P290" i="2"/>
  <c r="N290" i="2"/>
  <c r="M290" i="2"/>
  <c r="L290" i="2"/>
  <c r="K290" i="2"/>
  <c r="AL290" i="2" s="1"/>
  <c r="J290" i="2"/>
  <c r="F290" i="2"/>
  <c r="BJ289" i="2"/>
  <c r="BI289" i="2"/>
  <c r="BI290" i="2" s="1"/>
  <c r="BH289" i="2"/>
  <c r="BH290" i="2" s="1"/>
  <c r="BG289" i="2"/>
  <c r="BF289" i="2"/>
  <c r="BE289" i="2"/>
  <c r="BD289" i="2"/>
  <c r="BD290" i="2" s="1"/>
  <c r="BC289" i="2"/>
  <c r="BB289" i="2"/>
  <c r="BB290" i="2" s="1"/>
  <c r="BA289" i="2"/>
  <c r="BA290" i="2" s="1"/>
  <c r="AZ289" i="2"/>
  <c r="AZ290" i="2" s="1"/>
  <c r="AY289" i="2"/>
  <c r="AY290" i="2" s="1"/>
  <c r="AX289" i="2"/>
  <c r="AX290" i="2" s="1"/>
  <c r="AV289" i="2"/>
  <c r="AU289" i="2"/>
  <c r="AR289" i="2"/>
  <c r="AQ289" i="2"/>
  <c r="AO289" i="2"/>
  <c r="AN289" i="2"/>
  <c r="AM289" i="2"/>
  <c r="AL289" i="2"/>
  <c r="AK289" i="2"/>
  <c r="W289" i="2"/>
  <c r="AW289" i="2" s="1"/>
  <c r="V289" i="2"/>
  <c r="U289" i="2"/>
  <c r="T289" i="2"/>
  <c r="AT289" i="2" s="1"/>
  <c r="S289" i="2"/>
  <c r="AS289" i="2" s="1"/>
  <c r="Q289" i="2"/>
  <c r="P289" i="2"/>
  <c r="AP289" i="2" s="1"/>
  <c r="N289" i="2"/>
  <c r="M289" i="2"/>
  <c r="L289" i="2"/>
  <c r="K289" i="2"/>
  <c r="J289" i="2"/>
  <c r="I289" i="2"/>
  <c r="F289" i="2"/>
  <c r="BJ288" i="2"/>
  <c r="BK288" i="2" s="1"/>
  <c r="BN288" i="2" s="1"/>
  <c r="BI288" i="2"/>
  <c r="BH288" i="2"/>
  <c r="BG288" i="2"/>
  <c r="BF288" i="2"/>
  <c r="BE288" i="2"/>
  <c r="BD288" i="2"/>
  <c r="BC288" i="2"/>
  <c r="BB288" i="2"/>
  <c r="BA288" i="2"/>
  <c r="AZ288" i="2"/>
  <c r="AT288" i="2"/>
  <c r="AR288" i="2"/>
  <c r="AQ288" i="2"/>
  <c r="AP288" i="2"/>
  <c r="AO288" i="2"/>
  <c r="AN288" i="2"/>
  <c r="AM288" i="2"/>
  <c r="AK288" i="2"/>
  <c r="Y288" i="2"/>
  <c r="AY288" i="2" s="1"/>
  <c r="X288" i="2"/>
  <c r="AX288" i="2" s="1"/>
  <c r="W288" i="2"/>
  <c r="AW288" i="2" s="1"/>
  <c r="V288" i="2"/>
  <c r="AV288" i="2" s="1"/>
  <c r="U288" i="2"/>
  <c r="AU288" i="2" s="1"/>
  <c r="T288" i="2"/>
  <c r="S288" i="2"/>
  <c r="AS288" i="2" s="1"/>
  <c r="Q288" i="2"/>
  <c r="R288" i="2" s="1"/>
  <c r="P288" i="2"/>
  <c r="N288" i="2"/>
  <c r="M288" i="2"/>
  <c r="L288" i="2"/>
  <c r="K288" i="2"/>
  <c r="AL288" i="2" s="1"/>
  <c r="J288" i="2"/>
  <c r="I288" i="2"/>
  <c r="F288" i="2"/>
  <c r="BJ287" i="2"/>
  <c r="BI287" i="2"/>
  <c r="BH287" i="2"/>
  <c r="BG287" i="2"/>
  <c r="BF287" i="2"/>
  <c r="BE287" i="2"/>
  <c r="BC287" i="2"/>
  <c r="AY287" i="2"/>
  <c r="AW287" i="2"/>
  <c r="AU287" i="2"/>
  <c r="AT287" i="2"/>
  <c r="AR287" i="2"/>
  <c r="AP287" i="2"/>
  <c r="AO287" i="2"/>
  <c r="AM287" i="2"/>
  <c r="AL287" i="2"/>
  <c r="AK287" i="2"/>
  <c r="W287" i="2"/>
  <c r="V287" i="2"/>
  <c r="AV287" i="2" s="1"/>
  <c r="U287" i="2"/>
  <c r="T287" i="2"/>
  <c r="S287" i="2"/>
  <c r="AS287" i="2" s="1"/>
  <c r="Q287" i="2"/>
  <c r="AQ287" i="2" s="1"/>
  <c r="P287" i="2"/>
  <c r="N287" i="2"/>
  <c r="M287" i="2"/>
  <c r="AN287" i="2" s="1"/>
  <c r="L287" i="2"/>
  <c r="K287" i="2"/>
  <c r="J287" i="2"/>
  <c r="F287" i="2"/>
  <c r="BK286" i="2"/>
  <c r="BM286" i="2" s="1"/>
  <c r="BJ286" i="2"/>
  <c r="BI286" i="2"/>
  <c r="BH286" i="2"/>
  <c r="BG286" i="2"/>
  <c r="BF286" i="2"/>
  <c r="BE286" i="2"/>
  <c r="BD286" i="2"/>
  <c r="BD287" i="2" s="1"/>
  <c r="BC286" i="2"/>
  <c r="BB286" i="2"/>
  <c r="BB287" i="2" s="1"/>
  <c r="BA286" i="2"/>
  <c r="BA287" i="2" s="1"/>
  <c r="AZ286" i="2"/>
  <c r="AZ287" i="2" s="1"/>
  <c r="AY286" i="2"/>
  <c r="AX286" i="2"/>
  <c r="AX287" i="2" s="1"/>
  <c r="AW286" i="2"/>
  <c r="AV286" i="2"/>
  <c r="AU286" i="2"/>
  <c r="AR286" i="2"/>
  <c r="AQ286" i="2"/>
  <c r="AP286" i="2"/>
  <c r="AO286" i="2"/>
  <c r="AL286" i="2"/>
  <c r="W286" i="2"/>
  <c r="V286" i="2"/>
  <c r="U286" i="2"/>
  <c r="T286" i="2"/>
  <c r="AT286" i="2" s="1"/>
  <c r="S286" i="2"/>
  <c r="AS286" i="2" s="1"/>
  <c r="Q286" i="2"/>
  <c r="P286" i="2"/>
  <c r="N286" i="2"/>
  <c r="M286" i="2"/>
  <c r="AN286" i="2" s="1"/>
  <c r="L286" i="2"/>
  <c r="AM286" i="2" s="1"/>
  <c r="K286" i="2"/>
  <c r="J286" i="2"/>
  <c r="AK286" i="2" s="1"/>
  <c r="I286" i="2"/>
  <c r="F286" i="2"/>
  <c r="BJ285" i="2"/>
  <c r="BK285" i="2" s="1"/>
  <c r="BN285" i="2" s="1"/>
  <c r="BI285" i="2"/>
  <c r="BH285" i="2"/>
  <c r="BG285" i="2"/>
  <c r="BF285" i="2"/>
  <c r="BE285" i="2"/>
  <c r="BD285" i="2"/>
  <c r="BC285" i="2"/>
  <c r="BB285" i="2"/>
  <c r="BA285" i="2"/>
  <c r="AZ285" i="2"/>
  <c r="AW285" i="2"/>
  <c r="AP285" i="2"/>
  <c r="AO285" i="2"/>
  <c r="AM285" i="2"/>
  <c r="Y285" i="2"/>
  <c r="AY285" i="2" s="1"/>
  <c r="X285" i="2"/>
  <c r="AX285" i="2" s="1"/>
  <c r="W285" i="2"/>
  <c r="V285" i="2"/>
  <c r="AV285" i="2" s="1"/>
  <c r="U285" i="2"/>
  <c r="AU285" i="2" s="1"/>
  <c r="T285" i="2"/>
  <c r="AT285" i="2" s="1"/>
  <c r="S285" i="2"/>
  <c r="AS285" i="2" s="1"/>
  <c r="Q285" i="2"/>
  <c r="AQ285" i="2" s="1"/>
  <c r="P285" i="2"/>
  <c r="N285" i="2"/>
  <c r="M285" i="2"/>
  <c r="AN285" i="2" s="1"/>
  <c r="L285" i="2"/>
  <c r="K285" i="2"/>
  <c r="AL285" i="2" s="1"/>
  <c r="J285" i="2"/>
  <c r="AK285" i="2" s="1"/>
  <c r="I285" i="2"/>
  <c r="F285" i="2"/>
  <c r="BI284" i="2"/>
  <c r="BH284" i="2"/>
  <c r="BF284" i="2"/>
  <c r="BE284" i="2"/>
  <c r="BA284" i="2"/>
  <c r="AX284" i="2"/>
  <c r="AS284" i="2"/>
  <c r="AR284" i="2"/>
  <c r="AO284" i="2"/>
  <c r="AN284" i="2"/>
  <c r="AL284" i="2"/>
  <c r="AK284" i="2"/>
  <c r="W284" i="2"/>
  <c r="AW284" i="2" s="1"/>
  <c r="V284" i="2"/>
  <c r="AV284" i="2" s="1"/>
  <c r="U284" i="2"/>
  <c r="AU284" i="2" s="1"/>
  <c r="T284" i="2"/>
  <c r="AT284" i="2" s="1"/>
  <c r="S284" i="2"/>
  <c r="Q284" i="2"/>
  <c r="AQ284" i="2" s="1"/>
  <c r="P284" i="2"/>
  <c r="AP284" i="2" s="1"/>
  <c r="N284" i="2"/>
  <c r="M284" i="2"/>
  <c r="L284" i="2"/>
  <c r="AM284" i="2" s="1"/>
  <c r="K284" i="2"/>
  <c r="J284" i="2"/>
  <c r="F284" i="2"/>
  <c r="BJ283" i="2"/>
  <c r="BI283" i="2"/>
  <c r="BH283" i="2"/>
  <c r="BG283" i="2"/>
  <c r="BG284" i="2" s="1"/>
  <c r="BF283" i="2"/>
  <c r="BE283" i="2"/>
  <c r="BD283" i="2"/>
  <c r="BD284" i="2" s="1"/>
  <c r="BC283" i="2"/>
  <c r="BC284" i="2" s="1"/>
  <c r="BB283" i="2"/>
  <c r="BB284" i="2" s="1"/>
  <c r="BA283" i="2"/>
  <c r="AZ283" i="2"/>
  <c r="AZ284" i="2" s="1"/>
  <c r="AY283" i="2"/>
  <c r="AY284" i="2" s="1"/>
  <c r="AX283" i="2"/>
  <c r="AT283" i="2"/>
  <c r="AR283" i="2"/>
  <c r="AO283" i="2"/>
  <c r="AL283" i="2"/>
  <c r="W283" i="2"/>
  <c r="AW283" i="2" s="1"/>
  <c r="V283" i="2"/>
  <c r="AV283" i="2" s="1"/>
  <c r="U283" i="2"/>
  <c r="AU283" i="2" s="1"/>
  <c r="T283" i="2"/>
  <c r="S283" i="2"/>
  <c r="AS283" i="2" s="1"/>
  <c r="Q283" i="2"/>
  <c r="AQ283" i="2" s="1"/>
  <c r="P283" i="2"/>
  <c r="AP283" i="2" s="1"/>
  <c r="N283" i="2"/>
  <c r="M283" i="2"/>
  <c r="AN283" i="2" s="1"/>
  <c r="L283" i="2"/>
  <c r="AM283" i="2" s="1"/>
  <c r="K283" i="2"/>
  <c r="J283" i="2"/>
  <c r="AK283" i="2" s="1"/>
  <c r="I283" i="2"/>
  <c r="F283" i="2"/>
  <c r="BK282" i="2"/>
  <c r="BN282" i="2" s="1"/>
  <c r="BJ282" i="2"/>
  <c r="BI282" i="2"/>
  <c r="BH282" i="2"/>
  <c r="BG282" i="2"/>
  <c r="BF282" i="2"/>
  <c r="BE282" i="2"/>
  <c r="BD282" i="2"/>
  <c r="BC282" i="2"/>
  <c r="BB282" i="2"/>
  <c r="BA282" i="2"/>
  <c r="AZ282" i="2"/>
  <c r="AY282" i="2"/>
  <c r="AX282" i="2"/>
  <c r="AW282" i="2"/>
  <c r="AQ282" i="2"/>
  <c r="AO282" i="2"/>
  <c r="AN282" i="2"/>
  <c r="Y282" i="2"/>
  <c r="X282" i="2"/>
  <c r="W282" i="2"/>
  <c r="V282" i="2"/>
  <c r="AV282" i="2" s="1"/>
  <c r="U282" i="2"/>
  <c r="AU282" i="2" s="1"/>
  <c r="T282" i="2"/>
  <c r="AT282" i="2" s="1"/>
  <c r="S282" i="2"/>
  <c r="AS282" i="2" s="1"/>
  <c r="R282" i="2"/>
  <c r="AR282" i="2" s="1"/>
  <c r="Q282" i="2"/>
  <c r="P282" i="2"/>
  <c r="AP282" i="2" s="1"/>
  <c r="N282" i="2"/>
  <c r="M282" i="2"/>
  <c r="L282" i="2"/>
  <c r="AM282" i="2" s="1"/>
  <c r="K282" i="2"/>
  <c r="AL282" i="2" s="1"/>
  <c r="J282" i="2"/>
  <c r="AK282" i="2" s="1"/>
  <c r="I282" i="2"/>
  <c r="F282" i="2"/>
  <c r="BI281" i="2"/>
  <c r="BG281" i="2"/>
  <c r="BF281" i="2"/>
  <c r="BE281" i="2"/>
  <c r="BD281" i="2"/>
  <c r="BC281" i="2"/>
  <c r="BB281" i="2"/>
  <c r="AZ281" i="2"/>
  <c r="AU281" i="2"/>
  <c r="AT281" i="2"/>
  <c r="AS281" i="2"/>
  <c r="AR281" i="2"/>
  <c r="AQ281" i="2"/>
  <c r="AP281" i="2"/>
  <c r="AO281" i="2"/>
  <c r="W281" i="2"/>
  <c r="V281" i="2"/>
  <c r="U281" i="2"/>
  <c r="T281" i="2"/>
  <c r="S281" i="2"/>
  <c r="Q281" i="2"/>
  <c r="P281" i="2"/>
  <c r="N281" i="2"/>
  <c r="M281" i="2"/>
  <c r="AN281" i="2" s="1"/>
  <c r="L281" i="2"/>
  <c r="AM281" i="2" s="1"/>
  <c r="K281" i="2"/>
  <c r="AL281" i="2" s="1"/>
  <c r="J281" i="2"/>
  <c r="AK281" i="2" s="1"/>
  <c r="F281" i="2"/>
  <c r="BK280" i="2"/>
  <c r="BM280" i="2" s="1"/>
  <c r="BJ280" i="2"/>
  <c r="BJ281" i="2" s="1"/>
  <c r="BK281" i="2" s="1"/>
  <c r="BP281" i="2" s="1"/>
  <c r="BI280" i="2"/>
  <c r="BH280" i="2"/>
  <c r="BH281" i="2" s="1"/>
  <c r="BG280" i="2"/>
  <c r="BF280" i="2"/>
  <c r="BE280" i="2"/>
  <c r="BD280" i="2"/>
  <c r="BC280" i="2"/>
  <c r="BB280" i="2"/>
  <c r="BA280" i="2"/>
  <c r="BA281" i="2" s="1"/>
  <c r="AZ280" i="2"/>
  <c r="AY280" i="2"/>
  <c r="AY281" i="2" s="1"/>
  <c r="AX280" i="2"/>
  <c r="AX281" i="2" s="1"/>
  <c r="AU280" i="2"/>
  <c r="AT280" i="2"/>
  <c r="AS280" i="2"/>
  <c r="AR280" i="2"/>
  <c r="AQ280" i="2"/>
  <c r="AP280" i="2"/>
  <c r="AO280" i="2"/>
  <c r="W280" i="2"/>
  <c r="AW280" i="2" s="1"/>
  <c r="AW281" i="2" s="1"/>
  <c r="V280" i="2"/>
  <c r="AV280" i="2" s="1"/>
  <c r="AV281" i="2" s="1"/>
  <c r="U280" i="2"/>
  <c r="T280" i="2"/>
  <c r="S280" i="2"/>
  <c r="Q280" i="2"/>
  <c r="P280" i="2"/>
  <c r="N280" i="2"/>
  <c r="M280" i="2"/>
  <c r="AN280" i="2" s="1"/>
  <c r="L280" i="2"/>
  <c r="AM280" i="2" s="1"/>
  <c r="K280" i="2"/>
  <c r="AL280" i="2" s="1"/>
  <c r="J280" i="2"/>
  <c r="AK280" i="2" s="1"/>
  <c r="I280" i="2"/>
  <c r="F280" i="2"/>
  <c r="BN279" i="2"/>
  <c r="BK279" i="2"/>
  <c r="BJ279" i="2"/>
  <c r="BI279" i="2"/>
  <c r="BH279" i="2"/>
  <c r="BG279" i="2"/>
  <c r="BF279" i="2"/>
  <c r="BE279" i="2"/>
  <c r="BD279" i="2"/>
  <c r="BC279" i="2"/>
  <c r="BB279" i="2"/>
  <c r="BA279" i="2"/>
  <c r="AZ279" i="2"/>
  <c r="AX279" i="2"/>
  <c r="AW279" i="2"/>
  <c r="AT279" i="2"/>
  <c r="AS279" i="2"/>
  <c r="AQ279" i="2"/>
  <c r="AP279" i="2"/>
  <c r="AO279" i="2"/>
  <c r="AM279" i="2"/>
  <c r="Y279" i="2"/>
  <c r="AY279" i="2" s="1"/>
  <c r="X279" i="2"/>
  <c r="W279" i="2"/>
  <c r="V279" i="2"/>
  <c r="AV279" i="2" s="1"/>
  <c r="U279" i="2"/>
  <c r="AU279" i="2" s="1"/>
  <c r="T279" i="2"/>
  <c r="S279" i="2"/>
  <c r="Q279" i="2"/>
  <c r="R279" i="2" s="1"/>
  <c r="AR279" i="2" s="1"/>
  <c r="P279" i="2"/>
  <c r="N279" i="2"/>
  <c r="M279" i="2"/>
  <c r="AN279" i="2" s="1"/>
  <c r="L279" i="2"/>
  <c r="K279" i="2"/>
  <c r="AL279" i="2" s="1"/>
  <c r="J279" i="2"/>
  <c r="AK279" i="2" s="1"/>
  <c r="I279" i="2"/>
  <c r="F279" i="2"/>
  <c r="BI278" i="2"/>
  <c r="BF278" i="2"/>
  <c r="BE278" i="2"/>
  <c r="BD278" i="2"/>
  <c r="AY278" i="2"/>
  <c r="AR278" i="2"/>
  <c r="AQ278" i="2"/>
  <c r="AO278" i="2"/>
  <c r="W278" i="2"/>
  <c r="V278" i="2"/>
  <c r="U278" i="2"/>
  <c r="AU278" i="2" s="1"/>
  <c r="T278" i="2"/>
  <c r="AT278" i="2" s="1"/>
  <c r="S278" i="2"/>
  <c r="AS278" i="2" s="1"/>
  <c r="Q278" i="2"/>
  <c r="P278" i="2"/>
  <c r="AP278" i="2" s="1"/>
  <c r="N278" i="2"/>
  <c r="M278" i="2"/>
  <c r="AN278" i="2" s="1"/>
  <c r="L278" i="2"/>
  <c r="AM278" i="2" s="1"/>
  <c r="K278" i="2"/>
  <c r="AL278" i="2" s="1"/>
  <c r="J278" i="2"/>
  <c r="AK278" i="2" s="1"/>
  <c r="F278" i="2"/>
  <c r="BK277" i="2"/>
  <c r="BM277" i="2" s="1"/>
  <c r="BJ277" i="2"/>
  <c r="BJ278" i="2" s="1"/>
  <c r="BK278" i="2" s="1"/>
  <c r="BP278" i="2" s="1"/>
  <c r="BI277" i="2"/>
  <c r="BH277" i="2"/>
  <c r="BH278" i="2" s="1"/>
  <c r="BG277" i="2"/>
  <c r="BG278" i="2" s="1"/>
  <c r="BF277" i="2"/>
  <c r="BE277" i="2"/>
  <c r="BD277" i="2"/>
  <c r="BC277" i="2"/>
  <c r="BC278" i="2" s="1"/>
  <c r="BB277" i="2"/>
  <c r="BB278" i="2" s="1"/>
  <c r="BA277" i="2"/>
  <c r="BA278" i="2" s="1"/>
  <c r="AZ277" i="2"/>
  <c r="AZ278" i="2" s="1"/>
  <c r="AY277" i="2"/>
  <c r="AX277" i="2"/>
  <c r="AX278" i="2" s="1"/>
  <c r="AW277" i="2"/>
  <c r="AV277" i="2"/>
  <c r="AV278" i="2" s="1"/>
  <c r="AR277" i="2"/>
  <c r="AQ277" i="2"/>
  <c r="AO277" i="2"/>
  <c r="W277" i="2"/>
  <c r="V277" i="2"/>
  <c r="U277" i="2"/>
  <c r="AU277" i="2" s="1"/>
  <c r="T277" i="2"/>
  <c r="AT277" i="2" s="1"/>
  <c r="S277" i="2"/>
  <c r="AS277" i="2" s="1"/>
  <c r="Q277" i="2"/>
  <c r="P277" i="2"/>
  <c r="AP277" i="2" s="1"/>
  <c r="N277" i="2"/>
  <c r="M277" i="2"/>
  <c r="AN277" i="2" s="1"/>
  <c r="L277" i="2"/>
  <c r="AM277" i="2" s="1"/>
  <c r="K277" i="2"/>
  <c r="AL277" i="2" s="1"/>
  <c r="J277" i="2"/>
  <c r="AK277" i="2" s="1"/>
  <c r="I277" i="2"/>
  <c r="F277" i="2"/>
  <c r="BJ276" i="2"/>
  <c r="BK276" i="2" s="1"/>
  <c r="BN276" i="2" s="1"/>
  <c r="BI276" i="2"/>
  <c r="BH276" i="2"/>
  <c r="BG276" i="2"/>
  <c r="BF276" i="2"/>
  <c r="BE276" i="2"/>
  <c r="BD276" i="2"/>
  <c r="BC276" i="2"/>
  <c r="BB276" i="2"/>
  <c r="BA276" i="2"/>
  <c r="AZ276" i="2"/>
  <c r="AY276" i="2"/>
  <c r="AX276" i="2"/>
  <c r="AW276" i="2"/>
  <c r="AV276" i="2"/>
  <c r="AT276" i="2"/>
  <c r="AS276" i="2"/>
  <c r="AQ276" i="2"/>
  <c r="AP276" i="2"/>
  <c r="AO276" i="2"/>
  <c r="Y276" i="2"/>
  <c r="X276" i="2"/>
  <c r="W276" i="2"/>
  <c r="V276" i="2"/>
  <c r="U276" i="2"/>
  <c r="AU276" i="2" s="1"/>
  <c r="T276" i="2"/>
  <c r="S276" i="2"/>
  <c r="Q276" i="2"/>
  <c r="R276" i="2" s="1"/>
  <c r="AR276" i="2" s="1"/>
  <c r="P276" i="2"/>
  <c r="N276" i="2"/>
  <c r="M276" i="2"/>
  <c r="AN276" i="2" s="1"/>
  <c r="L276" i="2"/>
  <c r="AM276" i="2" s="1"/>
  <c r="K276" i="2"/>
  <c r="AL276" i="2" s="1"/>
  <c r="J276" i="2"/>
  <c r="AK276" i="2" s="1"/>
  <c r="I276" i="2"/>
  <c r="F276" i="2"/>
  <c r="BI275" i="2"/>
  <c r="BF275" i="2"/>
  <c r="BE275" i="2"/>
  <c r="BD275" i="2"/>
  <c r="AY275" i="2"/>
  <c r="AX275" i="2"/>
  <c r="AW275" i="2"/>
  <c r="AR275" i="2"/>
  <c r="AO275" i="2"/>
  <c r="W275" i="2"/>
  <c r="V275" i="2"/>
  <c r="AV275" i="2" s="1"/>
  <c r="U275" i="2"/>
  <c r="AU275" i="2" s="1"/>
  <c r="T275" i="2"/>
  <c r="AT275" i="2" s="1"/>
  <c r="S275" i="2"/>
  <c r="AS275" i="2" s="1"/>
  <c r="Q275" i="2"/>
  <c r="AQ275" i="2" s="1"/>
  <c r="P275" i="2"/>
  <c r="AP275" i="2" s="1"/>
  <c r="N275" i="2"/>
  <c r="M275" i="2"/>
  <c r="AN275" i="2" s="1"/>
  <c r="L275" i="2"/>
  <c r="AM275" i="2" s="1"/>
  <c r="K275" i="2"/>
  <c r="AL275" i="2" s="1"/>
  <c r="J275" i="2"/>
  <c r="AK275" i="2" s="1"/>
  <c r="F275" i="2"/>
  <c r="BJ274" i="2"/>
  <c r="BJ275" i="2" s="1"/>
  <c r="BK275" i="2" s="1"/>
  <c r="BP275" i="2" s="1"/>
  <c r="BI274" i="2"/>
  <c r="BH274" i="2"/>
  <c r="BH275" i="2" s="1"/>
  <c r="BG274" i="2"/>
  <c r="BG275" i="2" s="1"/>
  <c r="BF274" i="2"/>
  <c r="BE274" i="2"/>
  <c r="BD274" i="2"/>
  <c r="BC274" i="2"/>
  <c r="BC275" i="2" s="1"/>
  <c r="BB274" i="2"/>
  <c r="BB275" i="2" s="1"/>
  <c r="BA274" i="2"/>
  <c r="BA275" i="2" s="1"/>
  <c r="AZ274" i="2"/>
  <c r="AZ275" i="2" s="1"/>
  <c r="AY274" i="2"/>
  <c r="AX274" i="2"/>
  <c r="AW274" i="2"/>
  <c r="AV274" i="2"/>
  <c r="AU274" i="2"/>
  <c r="AT274" i="2"/>
  <c r="AR274" i="2"/>
  <c r="AO274" i="2"/>
  <c r="AM274" i="2"/>
  <c r="AL274" i="2"/>
  <c r="W274" i="2"/>
  <c r="V274" i="2"/>
  <c r="U274" i="2"/>
  <c r="T274" i="2"/>
  <c r="S274" i="2"/>
  <c r="AS274" i="2" s="1"/>
  <c r="Q274" i="2"/>
  <c r="AQ274" i="2" s="1"/>
  <c r="P274" i="2"/>
  <c r="AP274" i="2" s="1"/>
  <c r="N274" i="2"/>
  <c r="M274" i="2"/>
  <c r="AN274" i="2" s="1"/>
  <c r="L274" i="2"/>
  <c r="K274" i="2"/>
  <c r="J274" i="2"/>
  <c r="AK274" i="2" s="1"/>
  <c r="I274" i="2"/>
  <c r="F274" i="2"/>
  <c r="BJ273" i="2"/>
  <c r="BI273" i="2"/>
  <c r="BH273" i="2"/>
  <c r="BG273" i="2"/>
  <c r="BF273" i="2"/>
  <c r="BE273" i="2"/>
  <c r="BD273" i="2"/>
  <c r="BC273" i="2"/>
  <c r="BB273" i="2"/>
  <c r="BA273" i="2"/>
  <c r="AZ273" i="2"/>
  <c r="AY273" i="2"/>
  <c r="AX273" i="2"/>
  <c r="AW273" i="2"/>
  <c r="AV273" i="2"/>
  <c r="AU273" i="2"/>
  <c r="AO273" i="2"/>
  <c r="AN273" i="2"/>
  <c r="AM273" i="2"/>
  <c r="AL273" i="2"/>
  <c r="AK273" i="2"/>
  <c r="Y273" i="2"/>
  <c r="X273" i="2"/>
  <c r="W273" i="2"/>
  <c r="V273" i="2"/>
  <c r="U273" i="2"/>
  <c r="T273" i="2"/>
  <c r="AT273" i="2" s="1"/>
  <c r="S273" i="2"/>
  <c r="AS273" i="2" s="1"/>
  <c r="Q273" i="2"/>
  <c r="P273" i="2"/>
  <c r="AP273" i="2" s="1"/>
  <c r="N273" i="2"/>
  <c r="M273" i="2"/>
  <c r="L273" i="2"/>
  <c r="K273" i="2"/>
  <c r="J273" i="2"/>
  <c r="I273" i="2"/>
  <c r="F273" i="2"/>
  <c r="BJ272" i="2"/>
  <c r="BI272" i="2"/>
  <c r="BH272" i="2"/>
  <c r="BE272" i="2"/>
  <c r="BD272" i="2"/>
  <c r="BC272" i="2"/>
  <c r="BB272" i="2"/>
  <c r="BA272" i="2"/>
  <c r="AZ272" i="2"/>
  <c r="AY272" i="2"/>
  <c r="AX272" i="2"/>
  <c r="AU272" i="2"/>
  <c r="AT272" i="2"/>
  <c r="AS272" i="2"/>
  <c r="AR272" i="2"/>
  <c r="AQ272" i="2"/>
  <c r="AP272" i="2"/>
  <c r="AO272" i="2"/>
  <c r="AN272" i="2"/>
  <c r="AM272" i="2"/>
  <c r="AL272" i="2"/>
  <c r="AK272" i="2"/>
  <c r="W272" i="2"/>
  <c r="AW272" i="2" s="1"/>
  <c r="V272" i="2"/>
  <c r="AV272" i="2" s="1"/>
  <c r="U272" i="2"/>
  <c r="T272" i="2"/>
  <c r="S272" i="2"/>
  <c r="Q272" i="2"/>
  <c r="P272" i="2"/>
  <c r="N272" i="2"/>
  <c r="M272" i="2"/>
  <c r="L272" i="2"/>
  <c r="K272" i="2"/>
  <c r="J272" i="2"/>
  <c r="F272" i="2"/>
  <c r="BJ271" i="2"/>
  <c r="BK271" i="2" s="1"/>
  <c r="BM271" i="2" s="1"/>
  <c r="BI271" i="2"/>
  <c r="BH271" i="2"/>
  <c r="BG271" i="2"/>
  <c r="BG272" i="2" s="1"/>
  <c r="BF271" i="2"/>
  <c r="BF272" i="2" s="1"/>
  <c r="BE271" i="2"/>
  <c r="BD271" i="2"/>
  <c r="BC271" i="2"/>
  <c r="BB271" i="2"/>
  <c r="BA271" i="2"/>
  <c r="AZ271" i="2"/>
  <c r="AY271" i="2"/>
  <c r="AX271" i="2"/>
  <c r="AV271" i="2"/>
  <c r="AU271" i="2"/>
  <c r="AT271" i="2"/>
  <c r="AS271" i="2"/>
  <c r="AR271" i="2"/>
  <c r="AQ271" i="2"/>
  <c r="AP271" i="2"/>
  <c r="AO271" i="2"/>
  <c r="AM271" i="2"/>
  <c r="AL271" i="2"/>
  <c r="AK271" i="2"/>
  <c r="W271" i="2"/>
  <c r="AW271" i="2" s="1"/>
  <c r="V271" i="2"/>
  <c r="U271" i="2"/>
  <c r="T271" i="2"/>
  <c r="S271" i="2"/>
  <c r="Q271" i="2"/>
  <c r="P271" i="2"/>
  <c r="N271" i="2"/>
  <c r="M271" i="2"/>
  <c r="AN271" i="2" s="1"/>
  <c r="L271" i="2"/>
  <c r="K271" i="2"/>
  <c r="J271" i="2"/>
  <c r="I271" i="2"/>
  <c r="F271" i="2"/>
  <c r="BJ270" i="2"/>
  <c r="BI270" i="2"/>
  <c r="BH270" i="2"/>
  <c r="BG270" i="2"/>
  <c r="BF270" i="2"/>
  <c r="BE270" i="2"/>
  <c r="BD270" i="2"/>
  <c r="BC270" i="2"/>
  <c r="BB270" i="2"/>
  <c r="BA270" i="2"/>
  <c r="AZ270" i="2"/>
  <c r="AY270" i="2"/>
  <c r="AX270" i="2"/>
  <c r="AW270" i="2"/>
  <c r="AV270" i="2"/>
  <c r="AU270" i="2"/>
  <c r="AO270" i="2"/>
  <c r="AN270" i="2"/>
  <c r="Y270" i="2"/>
  <c r="X270" i="2"/>
  <c r="W270" i="2"/>
  <c r="V270" i="2"/>
  <c r="U270" i="2"/>
  <c r="T270" i="2"/>
  <c r="AT270" i="2" s="1"/>
  <c r="S270" i="2"/>
  <c r="AS270" i="2" s="1"/>
  <c r="Q270" i="2"/>
  <c r="AQ270" i="2" s="1"/>
  <c r="P270" i="2"/>
  <c r="AP270" i="2" s="1"/>
  <c r="N270" i="2"/>
  <c r="M270" i="2"/>
  <c r="L270" i="2"/>
  <c r="AM270" i="2" s="1"/>
  <c r="K270" i="2"/>
  <c r="AL270" i="2" s="1"/>
  <c r="J270" i="2"/>
  <c r="AK270" i="2" s="1"/>
  <c r="I270" i="2"/>
  <c r="F270" i="2"/>
  <c r="BJ269" i="2"/>
  <c r="BI269" i="2"/>
  <c r="BK269" i="2" s="1"/>
  <c r="BP269" i="2" s="1"/>
  <c r="BE269" i="2"/>
  <c r="BD269" i="2"/>
  <c r="BC269" i="2"/>
  <c r="BB269" i="2"/>
  <c r="BA269" i="2"/>
  <c r="AZ269" i="2"/>
  <c r="AY269" i="2"/>
  <c r="AX269" i="2"/>
  <c r="AW269" i="2"/>
  <c r="AV269" i="2"/>
  <c r="AU269" i="2"/>
  <c r="AT269" i="2"/>
  <c r="AR269" i="2"/>
  <c r="AO269" i="2"/>
  <c r="W269" i="2"/>
  <c r="V269" i="2"/>
  <c r="U269" i="2"/>
  <c r="T269" i="2"/>
  <c r="S269" i="2"/>
  <c r="AS269" i="2" s="1"/>
  <c r="Q269" i="2"/>
  <c r="AQ269" i="2" s="1"/>
  <c r="P269" i="2"/>
  <c r="AP269" i="2" s="1"/>
  <c r="N269" i="2"/>
  <c r="M269" i="2"/>
  <c r="AN269" i="2" s="1"/>
  <c r="L269" i="2"/>
  <c r="AM269" i="2" s="1"/>
  <c r="K269" i="2"/>
  <c r="AL269" i="2" s="1"/>
  <c r="J269" i="2"/>
  <c r="AK269" i="2" s="1"/>
  <c r="F269" i="2"/>
  <c r="BK268" i="2"/>
  <c r="BM268" i="2" s="1"/>
  <c r="BH268" i="2"/>
  <c r="BH269" i="2" s="1"/>
  <c r="BG268" i="2"/>
  <c r="BG269" i="2" s="1"/>
  <c r="BF268" i="2"/>
  <c r="BF269" i="2" s="1"/>
  <c r="BE268" i="2"/>
  <c r="BD268" i="2"/>
  <c r="BC268" i="2"/>
  <c r="BB268" i="2"/>
  <c r="BA268" i="2"/>
  <c r="AZ268" i="2"/>
  <c r="AY268" i="2"/>
  <c r="AX268" i="2"/>
  <c r="AW268" i="2"/>
  <c r="AV268" i="2"/>
  <c r="AU268" i="2"/>
  <c r="AT268" i="2"/>
  <c r="AS268" i="2"/>
  <c r="AR268" i="2"/>
  <c r="AQ268" i="2"/>
  <c r="AP268" i="2"/>
  <c r="AO268" i="2"/>
  <c r="AN268" i="2"/>
  <c r="W268" i="2"/>
  <c r="V268" i="2"/>
  <c r="U268" i="2"/>
  <c r="T268" i="2"/>
  <c r="S268" i="2"/>
  <c r="Q268" i="2"/>
  <c r="P268" i="2"/>
  <c r="N268" i="2"/>
  <c r="M268" i="2"/>
  <c r="L268" i="2"/>
  <c r="AM268" i="2" s="1"/>
  <c r="K268" i="2"/>
  <c r="AL268" i="2" s="1"/>
  <c r="J268" i="2"/>
  <c r="AK268" i="2" s="1"/>
  <c r="I268" i="2"/>
  <c r="F268" i="2"/>
  <c r="BK267" i="2"/>
  <c r="BN267" i="2" s="1"/>
  <c r="BJ267" i="2"/>
  <c r="BI267" i="2"/>
  <c r="BH267" i="2"/>
  <c r="BG267" i="2"/>
  <c r="BF267" i="2"/>
  <c r="BE267" i="2"/>
  <c r="BD267" i="2"/>
  <c r="BC267" i="2"/>
  <c r="BB267" i="2"/>
  <c r="BA267" i="2"/>
  <c r="AZ267" i="2"/>
  <c r="AY267" i="2"/>
  <c r="AX267" i="2"/>
  <c r="AW267" i="2"/>
  <c r="AV267" i="2"/>
  <c r="AU267" i="2"/>
  <c r="AT267" i="2"/>
  <c r="AS267" i="2"/>
  <c r="AR267" i="2"/>
  <c r="AQ267" i="2"/>
  <c r="AO267" i="2"/>
  <c r="AL267" i="2"/>
  <c r="AK267" i="2"/>
  <c r="Y267" i="2"/>
  <c r="X267" i="2"/>
  <c r="W267" i="2"/>
  <c r="V267" i="2"/>
  <c r="U267" i="2"/>
  <c r="T267" i="2"/>
  <c r="S267" i="2"/>
  <c r="Q267" i="2"/>
  <c r="R267" i="2" s="1"/>
  <c r="P267" i="2"/>
  <c r="AP267" i="2" s="1"/>
  <c r="N267" i="2"/>
  <c r="M267" i="2"/>
  <c r="AN267" i="2" s="1"/>
  <c r="L267" i="2"/>
  <c r="AM267" i="2" s="1"/>
  <c r="K267" i="2"/>
  <c r="J267" i="2"/>
  <c r="I267" i="2"/>
  <c r="F267" i="2"/>
  <c r="BJ266" i="2"/>
  <c r="BB266" i="2"/>
  <c r="BA266" i="2"/>
  <c r="AZ266" i="2"/>
  <c r="AY266" i="2"/>
  <c r="AX266" i="2"/>
  <c r="AR266" i="2"/>
  <c r="AQ266" i="2"/>
  <c r="AP266" i="2"/>
  <c r="AO266" i="2"/>
  <c r="AN266" i="2"/>
  <c r="AM266" i="2"/>
  <c r="AL266" i="2"/>
  <c r="AK266" i="2"/>
  <c r="W266" i="2"/>
  <c r="V266" i="2"/>
  <c r="U266" i="2"/>
  <c r="AU266" i="2" s="1"/>
  <c r="T266" i="2"/>
  <c r="AT266" i="2" s="1"/>
  <c r="S266" i="2"/>
  <c r="AS266" i="2" s="1"/>
  <c r="Q266" i="2"/>
  <c r="P266" i="2"/>
  <c r="N266" i="2"/>
  <c r="M266" i="2"/>
  <c r="L266" i="2"/>
  <c r="K266" i="2"/>
  <c r="J266" i="2"/>
  <c r="F266" i="2"/>
  <c r="BJ265" i="2"/>
  <c r="BI265" i="2"/>
  <c r="BI266" i="2" s="1"/>
  <c r="BH265" i="2"/>
  <c r="BH266" i="2" s="1"/>
  <c r="BG265" i="2"/>
  <c r="BG266" i="2" s="1"/>
  <c r="BF265" i="2"/>
  <c r="BF266" i="2" s="1"/>
  <c r="BE265" i="2"/>
  <c r="BE266" i="2" s="1"/>
  <c r="BD265" i="2"/>
  <c r="BD266" i="2" s="1"/>
  <c r="BC265" i="2"/>
  <c r="BC266" i="2" s="1"/>
  <c r="BB265" i="2"/>
  <c r="BA265" i="2"/>
  <c r="AZ265" i="2"/>
  <c r="AY265" i="2"/>
  <c r="AX265" i="2"/>
  <c r="AR265" i="2"/>
  <c r="AQ265" i="2"/>
  <c r="AP265" i="2"/>
  <c r="AO265" i="2"/>
  <c r="AN265" i="2"/>
  <c r="AM265" i="2"/>
  <c r="AL265" i="2"/>
  <c r="AK265" i="2"/>
  <c r="W265" i="2"/>
  <c r="AW265" i="2" s="1"/>
  <c r="V265" i="2"/>
  <c r="AV265" i="2" s="1"/>
  <c r="U265" i="2"/>
  <c r="AU265" i="2" s="1"/>
  <c r="T265" i="2"/>
  <c r="AT265" i="2" s="1"/>
  <c r="S265" i="2"/>
  <c r="AS265" i="2" s="1"/>
  <c r="Q265" i="2"/>
  <c r="P265" i="2"/>
  <c r="N265" i="2"/>
  <c r="M265" i="2"/>
  <c r="L265" i="2"/>
  <c r="K265" i="2"/>
  <c r="J265" i="2"/>
  <c r="I265" i="2"/>
  <c r="F265" i="2"/>
  <c r="BJ264" i="2"/>
  <c r="BK264" i="2" s="1"/>
  <c r="BN264" i="2" s="1"/>
  <c r="BI264" i="2"/>
  <c r="BH264" i="2"/>
  <c r="BG264" i="2"/>
  <c r="BF264" i="2"/>
  <c r="BE264" i="2"/>
  <c r="BD264" i="2"/>
  <c r="BC264" i="2"/>
  <c r="BB264" i="2"/>
  <c r="BA264" i="2"/>
  <c r="AZ264" i="2"/>
  <c r="AT264" i="2"/>
  <c r="AS264" i="2"/>
  <c r="AR264" i="2"/>
  <c r="AQ264" i="2"/>
  <c r="AP264" i="2"/>
  <c r="AO264" i="2"/>
  <c r="AN264" i="2"/>
  <c r="AM264" i="2"/>
  <c r="AL264" i="2"/>
  <c r="AK264" i="2"/>
  <c r="Y264" i="2"/>
  <c r="AY264" i="2" s="1"/>
  <c r="X264" i="2"/>
  <c r="AX264" i="2" s="1"/>
  <c r="W264" i="2"/>
  <c r="AW264" i="2" s="1"/>
  <c r="V264" i="2"/>
  <c r="AV264" i="2" s="1"/>
  <c r="U264" i="2"/>
  <c r="AU264" i="2" s="1"/>
  <c r="T264" i="2"/>
  <c r="S264" i="2"/>
  <c r="Q264" i="2"/>
  <c r="R264" i="2" s="1"/>
  <c r="P264" i="2"/>
  <c r="N264" i="2"/>
  <c r="M264" i="2"/>
  <c r="L264" i="2"/>
  <c r="K264" i="2"/>
  <c r="J264" i="2"/>
  <c r="I264" i="2"/>
  <c r="F264" i="2"/>
  <c r="BJ263" i="2"/>
  <c r="BK263" i="2" s="1"/>
  <c r="BP263" i="2" s="1"/>
  <c r="BI263" i="2"/>
  <c r="BH263" i="2"/>
  <c r="BG263" i="2"/>
  <c r="BF263" i="2"/>
  <c r="BE263" i="2"/>
  <c r="BC263" i="2"/>
  <c r="AZ263" i="2"/>
  <c r="AY263" i="2"/>
  <c r="AU263" i="2"/>
  <c r="AT263" i="2"/>
  <c r="AR263" i="2"/>
  <c r="AQ263" i="2"/>
  <c r="AP263" i="2"/>
  <c r="AO263" i="2"/>
  <c r="AN263" i="2"/>
  <c r="AM263" i="2"/>
  <c r="AL263" i="2"/>
  <c r="AK263" i="2"/>
  <c r="W263" i="2"/>
  <c r="V263" i="2"/>
  <c r="U263" i="2"/>
  <c r="T263" i="2"/>
  <c r="S263" i="2"/>
  <c r="AS263" i="2" s="1"/>
  <c r="Q263" i="2"/>
  <c r="P263" i="2"/>
  <c r="N263" i="2"/>
  <c r="M263" i="2"/>
  <c r="L263" i="2"/>
  <c r="K263" i="2"/>
  <c r="J263" i="2"/>
  <c r="F263" i="2"/>
  <c r="BJ262" i="2"/>
  <c r="BI262" i="2"/>
  <c r="BH262" i="2"/>
  <c r="BG262" i="2"/>
  <c r="BF262" i="2"/>
  <c r="BE262" i="2"/>
  <c r="BD262" i="2"/>
  <c r="BD263" i="2" s="1"/>
  <c r="BC262" i="2"/>
  <c r="BB262" i="2"/>
  <c r="BB263" i="2" s="1"/>
  <c r="BA262" i="2"/>
  <c r="BA263" i="2" s="1"/>
  <c r="AZ262" i="2"/>
  <c r="AY262" i="2"/>
  <c r="AX262" i="2"/>
  <c r="AX263" i="2" s="1"/>
  <c r="AW262" i="2"/>
  <c r="AW263" i="2" s="1"/>
  <c r="AV262" i="2"/>
  <c r="AV263" i="2" s="1"/>
  <c r="AU262" i="2"/>
  <c r="AR262" i="2"/>
  <c r="AQ262" i="2"/>
  <c r="AP262" i="2"/>
  <c r="AO262" i="2"/>
  <c r="AN262" i="2"/>
  <c r="AM262" i="2"/>
  <c r="AL262" i="2"/>
  <c r="W262" i="2"/>
  <c r="V262" i="2"/>
  <c r="U262" i="2"/>
  <c r="T262" i="2"/>
  <c r="AT262" i="2" s="1"/>
  <c r="S262" i="2"/>
  <c r="AS262" i="2" s="1"/>
  <c r="Q262" i="2"/>
  <c r="P262" i="2"/>
  <c r="N262" i="2"/>
  <c r="M262" i="2"/>
  <c r="L262" i="2"/>
  <c r="K262" i="2"/>
  <c r="J262" i="2"/>
  <c r="AK262" i="2" s="1"/>
  <c r="I262" i="2"/>
  <c r="F262" i="2"/>
  <c r="BJ261" i="2"/>
  <c r="BK261" i="2" s="1"/>
  <c r="BN261" i="2" s="1"/>
  <c r="BI261" i="2"/>
  <c r="BH261" i="2"/>
  <c r="BG261" i="2"/>
  <c r="BF261" i="2"/>
  <c r="BE261" i="2"/>
  <c r="BD261" i="2"/>
  <c r="BC261" i="2"/>
  <c r="BB261" i="2"/>
  <c r="BA261" i="2"/>
  <c r="AZ261" i="2"/>
  <c r="AV261" i="2"/>
  <c r="AS261" i="2"/>
  <c r="AR261" i="2"/>
  <c r="AQ261" i="2"/>
  <c r="AP261" i="2"/>
  <c r="AO261" i="2"/>
  <c r="Y261" i="2"/>
  <c r="AY261" i="2" s="1"/>
  <c r="X261" i="2"/>
  <c r="AX261" i="2" s="1"/>
  <c r="W261" i="2"/>
  <c r="AW261" i="2" s="1"/>
  <c r="V261" i="2"/>
  <c r="U261" i="2"/>
  <c r="AU261" i="2" s="1"/>
  <c r="T261" i="2"/>
  <c r="AT261" i="2" s="1"/>
  <c r="S261" i="2"/>
  <c r="R261" i="2"/>
  <c r="Q261" i="2"/>
  <c r="P261" i="2"/>
  <c r="N261" i="2"/>
  <c r="M261" i="2"/>
  <c r="AN261" i="2" s="1"/>
  <c r="L261" i="2"/>
  <c r="AM261" i="2" s="1"/>
  <c r="K261" i="2"/>
  <c r="AL261" i="2" s="1"/>
  <c r="J261" i="2"/>
  <c r="AK261" i="2" s="1"/>
  <c r="I261" i="2"/>
  <c r="F261" i="2"/>
  <c r="BH260" i="2"/>
  <c r="BG260" i="2"/>
  <c r="BF260" i="2"/>
  <c r="BE260" i="2"/>
  <c r="BD260" i="2"/>
  <c r="BC260" i="2"/>
  <c r="BB260" i="2"/>
  <c r="BA260" i="2"/>
  <c r="AU260" i="2"/>
  <c r="AT260" i="2"/>
  <c r="AR260" i="2"/>
  <c r="AO260" i="2"/>
  <c r="AN260" i="2"/>
  <c r="AM260" i="2"/>
  <c r="AL260" i="2"/>
  <c r="AK260" i="2"/>
  <c r="W260" i="2"/>
  <c r="V260" i="2"/>
  <c r="U260" i="2"/>
  <c r="T260" i="2"/>
  <c r="S260" i="2"/>
  <c r="AS260" i="2" s="1"/>
  <c r="Q260" i="2"/>
  <c r="AQ260" i="2" s="1"/>
  <c r="P260" i="2"/>
  <c r="AP260" i="2" s="1"/>
  <c r="N260" i="2"/>
  <c r="M260" i="2"/>
  <c r="L260" i="2"/>
  <c r="K260" i="2"/>
  <c r="J260" i="2"/>
  <c r="F260" i="2"/>
  <c r="BJ259" i="2"/>
  <c r="BI259" i="2"/>
  <c r="BI260" i="2" s="1"/>
  <c r="BH259" i="2"/>
  <c r="BG259" i="2"/>
  <c r="BF259" i="2"/>
  <c r="BE259" i="2"/>
  <c r="BD259" i="2"/>
  <c r="BC259" i="2"/>
  <c r="BB259" i="2"/>
  <c r="BA259" i="2"/>
  <c r="AZ259" i="2"/>
  <c r="AZ260" i="2" s="1"/>
  <c r="AY259" i="2"/>
  <c r="AY260" i="2" s="1"/>
  <c r="AX259" i="2"/>
  <c r="AX260" i="2" s="1"/>
  <c r="AW259" i="2"/>
  <c r="AR259" i="2"/>
  <c r="AO259" i="2"/>
  <c r="AN259" i="2"/>
  <c r="AM259" i="2"/>
  <c r="AL259" i="2"/>
  <c r="AK259" i="2"/>
  <c r="W259" i="2"/>
  <c r="V259" i="2"/>
  <c r="AV259" i="2" s="1"/>
  <c r="U259" i="2"/>
  <c r="AU259" i="2" s="1"/>
  <c r="T259" i="2"/>
  <c r="AT259" i="2" s="1"/>
  <c r="S259" i="2"/>
  <c r="AS259" i="2" s="1"/>
  <c r="Q259" i="2"/>
  <c r="AQ259" i="2" s="1"/>
  <c r="P259" i="2"/>
  <c r="AP259" i="2" s="1"/>
  <c r="N259" i="2"/>
  <c r="M259" i="2"/>
  <c r="L259" i="2"/>
  <c r="K259" i="2"/>
  <c r="J259" i="2"/>
  <c r="I259" i="2"/>
  <c r="F259" i="2"/>
  <c r="BJ258" i="2"/>
  <c r="BK258" i="2" s="1"/>
  <c r="BN258" i="2" s="1"/>
  <c r="BI258" i="2"/>
  <c r="BH258" i="2"/>
  <c r="BG258" i="2"/>
  <c r="BF258" i="2"/>
  <c r="BE258" i="2"/>
  <c r="BD258" i="2"/>
  <c r="BC258" i="2"/>
  <c r="BB258" i="2"/>
  <c r="BA258" i="2"/>
  <c r="AZ258" i="2"/>
  <c r="AQ258" i="2"/>
  <c r="AP258" i="2"/>
  <c r="AO258" i="2"/>
  <c r="AM258" i="2"/>
  <c r="AL258" i="2"/>
  <c r="AK258" i="2"/>
  <c r="Y258" i="2"/>
  <c r="AY258" i="2" s="1"/>
  <c r="X258" i="2"/>
  <c r="AX258" i="2" s="1"/>
  <c r="W258" i="2"/>
  <c r="AW258" i="2" s="1"/>
  <c r="V258" i="2"/>
  <c r="AV258" i="2" s="1"/>
  <c r="U258" i="2"/>
  <c r="AU258" i="2" s="1"/>
  <c r="T258" i="2"/>
  <c r="AT258" i="2" s="1"/>
  <c r="S258" i="2"/>
  <c r="AS258" i="2" s="1"/>
  <c r="Q258" i="2"/>
  <c r="R258" i="2" s="1"/>
  <c r="AR258" i="2" s="1"/>
  <c r="P258" i="2"/>
  <c r="N258" i="2"/>
  <c r="M258" i="2"/>
  <c r="AN258" i="2" s="1"/>
  <c r="L258" i="2"/>
  <c r="K258" i="2"/>
  <c r="J258" i="2"/>
  <c r="I258" i="2"/>
  <c r="F258" i="2"/>
  <c r="BJ257" i="2"/>
  <c r="BI257" i="2"/>
  <c r="BH257" i="2"/>
  <c r="BG257" i="2"/>
  <c r="BF257" i="2"/>
  <c r="BE257" i="2"/>
  <c r="BD257" i="2"/>
  <c r="BC257" i="2"/>
  <c r="BA257" i="2"/>
  <c r="AU257" i="2"/>
  <c r="AT257" i="2"/>
  <c r="AS257" i="2"/>
  <c r="AR257" i="2"/>
  <c r="AO257" i="2"/>
  <c r="AL257" i="2"/>
  <c r="AK257" i="2"/>
  <c r="W257" i="2"/>
  <c r="V257" i="2"/>
  <c r="U257" i="2"/>
  <c r="T257" i="2"/>
  <c r="S257" i="2"/>
  <c r="Q257" i="2"/>
  <c r="AQ257" i="2" s="1"/>
  <c r="P257" i="2"/>
  <c r="AP257" i="2" s="1"/>
  <c r="N257" i="2"/>
  <c r="M257" i="2"/>
  <c r="AN257" i="2" s="1"/>
  <c r="L257" i="2"/>
  <c r="AM257" i="2" s="1"/>
  <c r="K257" i="2"/>
  <c r="J257" i="2"/>
  <c r="F257" i="2"/>
  <c r="BJ256" i="2"/>
  <c r="BK256" i="2" s="1"/>
  <c r="BI256" i="2"/>
  <c r="BH256" i="2"/>
  <c r="BG256" i="2"/>
  <c r="BF256" i="2"/>
  <c r="BE256" i="2"/>
  <c r="BD256" i="2"/>
  <c r="BC256" i="2"/>
  <c r="BB256" i="2"/>
  <c r="BB257" i="2" s="1"/>
  <c r="BA256" i="2"/>
  <c r="AZ256" i="2"/>
  <c r="AZ257" i="2" s="1"/>
  <c r="AY256" i="2"/>
  <c r="AY257" i="2" s="1"/>
  <c r="AX256" i="2"/>
  <c r="AX257" i="2" s="1"/>
  <c r="AW256" i="2"/>
  <c r="AV256" i="2"/>
  <c r="AU256" i="2"/>
  <c r="AT256" i="2"/>
  <c r="AR256" i="2"/>
  <c r="AO256" i="2"/>
  <c r="AL256" i="2"/>
  <c r="AK256" i="2"/>
  <c r="W256" i="2"/>
  <c r="V256" i="2"/>
  <c r="U256" i="2"/>
  <c r="T256" i="2"/>
  <c r="S256" i="2"/>
  <c r="AS256" i="2" s="1"/>
  <c r="Q256" i="2"/>
  <c r="AQ256" i="2" s="1"/>
  <c r="P256" i="2"/>
  <c r="AP256" i="2" s="1"/>
  <c r="N256" i="2"/>
  <c r="M256" i="2"/>
  <c r="AN256" i="2" s="1"/>
  <c r="L256" i="2"/>
  <c r="AM256" i="2" s="1"/>
  <c r="K256" i="2"/>
  <c r="J256" i="2"/>
  <c r="I256" i="2"/>
  <c r="F256" i="2"/>
  <c r="BJ255" i="2"/>
  <c r="BK255" i="2" s="1"/>
  <c r="BN255" i="2" s="1"/>
  <c r="BI255" i="2"/>
  <c r="BH255" i="2"/>
  <c r="BG255" i="2"/>
  <c r="BF255" i="2"/>
  <c r="BE255" i="2"/>
  <c r="BD255" i="2"/>
  <c r="BC255" i="2"/>
  <c r="BB255" i="2"/>
  <c r="BA255" i="2"/>
  <c r="AZ255" i="2"/>
  <c r="AY255" i="2"/>
  <c r="AX255" i="2"/>
  <c r="AP255" i="2"/>
  <c r="AO255" i="2"/>
  <c r="AN255" i="2"/>
  <c r="AM255" i="2"/>
  <c r="Y255" i="2"/>
  <c r="X255" i="2"/>
  <c r="W255" i="2"/>
  <c r="AW255" i="2" s="1"/>
  <c r="V255" i="2"/>
  <c r="AV255" i="2" s="1"/>
  <c r="U255" i="2"/>
  <c r="AU255" i="2" s="1"/>
  <c r="T255" i="2"/>
  <c r="AT255" i="2" s="1"/>
  <c r="S255" i="2"/>
  <c r="AS255" i="2" s="1"/>
  <c r="Q255" i="2"/>
  <c r="P255" i="2"/>
  <c r="N255" i="2"/>
  <c r="M255" i="2"/>
  <c r="L255" i="2"/>
  <c r="K255" i="2"/>
  <c r="AL255" i="2" s="1"/>
  <c r="J255" i="2"/>
  <c r="AK255" i="2" s="1"/>
  <c r="I255" i="2"/>
  <c r="F255" i="2"/>
  <c r="BJ254" i="2"/>
  <c r="AS254" i="2"/>
  <c r="AR254" i="2"/>
  <c r="AO254" i="2"/>
  <c r="AN254" i="2"/>
  <c r="AM254" i="2"/>
  <c r="AL254" i="2"/>
  <c r="AK254" i="2"/>
  <c r="W254" i="2"/>
  <c r="AW254" i="2" s="1"/>
  <c r="V254" i="2"/>
  <c r="AV254" i="2" s="1"/>
  <c r="U254" i="2"/>
  <c r="AU254" i="2" s="1"/>
  <c r="T254" i="2"/>
  <c r="AT254" i="2" s="1"/>
  <c r="S254" i="2"/>
  <c r="Q254" i="2"/>
  <c r="AQ254" i="2" s="1"/>
  <c r="P254" i="2"/>
  <c r="AP254" i="2" s="1"/>
  <c r="N254" i="2"/>
  <c r="M254" i="2"/>
  <c r="L254" i="2"/>
  <c r="K254" i="2"/>
  <c r="J254" i="2"/>
  <c r="F254" i="2"/>
  <c r="BJ253" i="2"/>
  <c r="BI253" i="2"/>
  <c r="BH253" i="2"/>
  <c r="BH254" i="2" s="1"/>
  <c r="BG253" i="2"/>
  <c r="BG254" i="2" s="1"/>
  <c r="BF253" i="2"/>
  <c r="BF254" i="2" s="1"/>
  <c r="BE253" i="2"/>
  <c r="BE254" i="2" s="1"/>
  <c r="BD253" i="2"/>
  <c r="BD254" i="2" s="1"/>
  <c r="BC253" i="2"/>
  <c r="BC254" i="2" s="1"/>
  <c r="BB253" i="2"/>
  <c r="BB254" i="2" s="1"/>
  <c r="BA253" i="2"/>
  <c r="BA254" i="2" s="1"/>
  <c r="AZ253" i="2"/>
  <c r="AZ254" i="2" s="1"/>
  <c r="AY253" i="2"/>
  <c r="AY254" i="2" s="1"/>
  <c r="AX253" i="2"/>
  <c r="AX254" i="2" s="1"/>
  <c r="AR253" i="2"/>
  <c r="AO253" i="2"/>
  <c r="AK253" i="2"/>
  <c r="W253" i="2"/>
  <c r="AW253" i="2" s="1"/>
  <c r="V253" i="2"/>
  <c r="AV253" i="2" s="1"/>
  <c r="U253" i="2"/>
  <c r="AU253" i="2" s="1"/>
  <c r="T253" i="2"/>
  <c r="AT253" i="2" s="1"/>
  <c r="S253" i="2"/>
  <c r="AS253" i="2" s="1"/>
  <c r="Q253" i="2"/>
  <c r="AQ253" i="2" s="1"/>
  <c r="P253" i="2"/>
  <c r="AP253" i="2" s="1"/>
  <c r="N253" i="2"/>
  <c r="M253" i="2"/>
  <c r="AN253" i="2" s="1"/>
  <c r="L253" i="2"/>
  <c r="AM253" i="2" s="1"/>
  <c r="K253" i="2"/>
  <c r="AL253" i="2" s="1"/>
  <c r="J253" i="2"/>
  <c r="I253" i="2"/>
  <c r="F253" i="2"/>
  <c r="BJ252" i="2"/>
  <c r="BI252" i="2"/>
  <c r="BH252" i="2"/>
  <c r="BG252" i="2"/>
  <c r="BF252" i="2"/>
  <c r="BE252" i="2"/>
  <c r="BD252" i="2"/>
  <c r="BC252" i="2"/>
  <c r="BB252" i="2"/>
  <c r="BA252" i="2"/>
  <c r="AZ252" i="2"/>
  <c r="AY252" i="2"/>
  <c r="AX252" i="2"/>
  <c r="AW252" i="2"/>
  <c r="AV252" i="2"/>
  <c r="AP252" i="2"/>
  <c r="AO252" i="2"/>
  <c r="AN252" i="2"/>
  <c r="AM252" i="2"/>
  <c r="AL252" i="2"/>
  <c r="AK252" i="2"/>
  <c r="Y252" i="2"/>
  <c r="X252" i="2"/>
  <c r="W252" i="2"/>
  <c r="V252" i="2"/>
  <c r="U252" i="2"/>
  <c r="AU252" i="2" s="1"/>
  <c r="T252" i="2"/>
  <c r="AT252" i="2" s="1"/>
  <c r="S252" i="2"/>
  <c r="AS252" i="2" s="1"/>
  <c r="Q252" i="2"/>
  <c r="AQ252" i="2" s="1"/>
  <c r="P252" i="2"/>
  <c r="N252" i="2"/>
  <c r="M252" i="2"/>
  <c r="L252" i="2"/>
  <c r="K252" i="2"/>
  <c r="J252" i="2"/>
  <c r="I252" i="2"/>
  <c r="F252" i="2"/>
  <c r="BH251" i="2"/>
  <c r="BG251" i="2"/>
  <c r="BF251" i="2"/>
  <c r="BE251" i="2"/>
  <c r="BD251" i="2"/>
  <c r="BA251" i="2"/>
  <c r="AY251" i="2"/>
  <c r="AW251" i="2"/>
  <c r="AS251" i="2"/>
  <c r="AR251" i="2"/>
  <c r="AQ251" i="2"/>
  <c r="AP251" i="2"/>
  <c r="AO251" i="2"/>
  <c r="AM251" i="2"/>
  <c r="AL251" i="2"/>
  <c r="AK251" i="2"/>
  <c r="W251" i="2"/>
  <c r="V251" i="2"/>
  <c r="AV251" i="2" s="1"/>
  <c r="U251" i="2"/>
  <c r="AU251" i="2" s="1"/>
  <c r="T251" i="2"/>
  <c r="AT251" i="2" s="1"/>
  <c r="S251" i="2"/>
  <c r="Q251" i="2"/>
  <c r="P251" i="2"/>
  <c r="N251" i="2"/>
  <c r="M251" i="2"/>
  <c r="AN251" i="2" s="1"/>
  <c r="L251" i="2"/>
  <c r="K251" i="2"/>
  <c r="J251" i="2"/>
  <c r="F251" i="2"/>
  <c r="BJ250" i="2"/>
  <c r="BJ251" i="2" s="1"/>
  <c r="BI250" i="2"/>
  <c r="BI251" i="2" s="1"/>
  <c r="BH250" i="2"/>
  <c r="BG250" i="2"/>
  <c r="BF250" i="2"/>
  <c r="BE250" i="2"/>
  <c r="BD250" i="2"/>
  <c r="BC250" i="2"/>
  <c r="BC251" i="2" s="1"/>
  <c r="BB250" i="2"/>
  <c r="BB251" i="2" s="1"/>
  <c r="BA250" i="2"/>
  <c r="AZ250" i="2"/>
  <c r="AZ251" i="2" s="1"/>
  <c r="AY250" i="2"/>
  <c r="AX250" i="2"/>
  <c r="AX251" i="2" s="1"/>
  <c r="AW250" i="2"/>
  <c r="AT250" i="2"/>
  <c r="AS250" i="2"/>
  <c r="AR250" i="2"/>
  <c r="AQ250" i="2"/>
  <c r="AO250" i="2"/>
  <c r="AN250" i="2"/>
  <c r="AM250" i="2"/>
  <c r="AL250" i="2"/>
  <c r="AK250" i="2"/>
  <c r="W250" i="2"/>
  <c r="V250" i="2"/>
  <c r="AV250" i="2" s="1"/>
  <c r="U250" i="2"/>
  <c r="AU250" i="2" s="1"/>
  <c r="T250" i="2"/>
  <c r="S250" i="2"/>
  <c r="Q250" i="2"/>
  <c r="P250" i="2"/>
  <c r="AP250" i="2" s="1"/>
  <c r="N250" i="2"/>
  <c r="M250" i="2"/>
  <c r="L250" i="2"/>
  <c r="K250" i="2"/>
  <c r="J250" i="2"/>
  <c r="I250" i="2"/>
  <c r="F250" i="2"/>
  <c r="BJ249" i="2"/>
  <c r="BK249" i="2" s="1"/>
  <c r="BN249" i="2" s="1"/>
  <c r="BI249" i="2"/>
  <c r="BH249" i="2"/>
  <c r="BG249" i="2"/>
  <c r="BF249" i="2"/>
  <c r="BE249" i="2"/>
  <c r="BD249" i="2"/>
  <c r="BC249" i="2"/>
  <c r="BB249" i="2"/>
  <c r="BA249" i="2"/>
  <c r="AZ249" i="2"/>
  <c r="AY249" i="2"/>
  <c r="AX249" i="2"/>
  <c r="AW249" i="2"/>
  <c r="AT249" i="2"/>
  <c r="AS249" i="2"/>
  <c r="AQ249" i="2"/>
  <c r="AP249" i="2"/>
  <c r="AO249" i="2"/>
  <c r="AN249" i="2"/>
  <c r="Y249" i="2"/>
  <c r="X249" i="2"/>
  <c r="W249" i="2"/>
  <c r="V249" i="2"/>
  <c r="AV249" i="2" s="1"/>
  <c r="U249" i="2"/>
  <c r="AU249" i="2" s="1"/>
  <c r="T249" i="2"/>
  <c r="S249" i="2"/>
  <c r="Q249" i="2"/>
  <c r="R249" i="2" s="1"/>
  <c r="AR249" i="2" s="1"/>
  <c r="P249" i="2"/>
  <c r="N249" i="2"/>
  <c r="M249" i="2"/>
  <c r="L249" i="2"/>
  <c r="AM249" i="2" s="1"/>
  <c r="K249" i="2"/>
  <c r="AL249" i="2" s="1"/>
  <c r="J249" i="2"/>
  <c r="AK249" i="2" s="1"/>
  <c r="I249" i="2"/>
  <c r="F249" i="2"/>
  <c r="BP248" i="2"/>
  <c r="BJ248" i="2"/>
  <c r="BH248" i="2"/>
  <c r="BE248" i="2"/>
  <c r="BD248" i="2"/>
  <c r="BC248" i="2"/>
  <c r="AY248" i="2"/>
  <c r="AX248" i="2"/>
  <c r="AW248" i="2"/>
  <c r="AV248" i="2"/>
  <c r="AU248" i="2"/>
  <c r="AT248" i="2"/>
  <c r="AS248" i="2"/>
  <c r="AR248" i="2"/>
  <c r="AQ248" i="2"/>
  <c r="AP248" i="2"/>
  <c r="AO248" i="2"/>
  <c r="W248" i="2"/>
  <c r="V248" i="2"/>
  <c r="U248" i="2"/>
  <c r="T248" i="2"/>
  <c r="S248" i="2"/>
  <c r="Q248" i="2"/>
  <c r="P248" i="2"/>
  <c r="N248" i="2"/>
  <c r="M248" i="2"/>
  <c r="AN248" i="2" s="1"/>
  <c r="L248" i="2"/>
  <c r="AM248" i="2" s="1"/>
  <c r="K248" i="2"/>
  <c r="AL248" i="2" s="1"/>
  <c r="J248" i="2"/>
  <c r="AK248" i="2" s="1"/>
  <c r="F248" i="2"/>
  <c r="BK247" i="2"/>
  <c r="BM247" i="2" s="1"/>
  <c r="BJ247" i="2"/>
  <c r="BI247" i="2"/>
  <c r="BI248" i="2" s="1"/>
  <c r="BK248" i="2" s="1"/>
  <c r="BH247" i="2"/>
  <c r="BG247" i="2"/>
  <c r="BG248" i="2" s="1"/>
  <c r="BF247" i="2"/>
  <c r="BF248" i="2" s="1"/>
  <c r="BE247" i="2"/>
  <c r="BD247" i="2"/>
  <c r="BC247" i="2"/>
  <c r="BB247" i="2"/>
  <c r="BB248" i="2" s="1"/>
  <c r="BA247" i="2"/>
  <c r="BA248" i="2" s="1"/>
  <c r="AZ247" i="2"/>
  <c r="AZ248" i="2" s="1"/>
  <c r="AY247" i="2"/>
  <c r="AX247" i="2"/>
  <c r="AV247" i="2"/>
  <c r="AU247" i="2"/>
  <c r="AT247" i="2"/>
  <c r="AS247" i="2"/>
  <c r="AR247" i="2"/>
  <c r="AQ247" i="2"/>
  <c r="AO247" i="2"/>
  <c r="AM247" i="2"/>
  <c r="W247" i="2"/>
  <c r="AW247" i="2" s="1"/>
  <c r="V247" i="2"/>
  <c r="U247" i="2"/>
  <c r="T247" i="2"/>
  <c r="S247" i="2"/>
  <c r="Q247" i="2"/>
  <c r="P247" i="2"/>
  <c r="AP247" i="2" s="1"/>
  <c r="N247" i="2"/>
  <c r="M247" i="2"/>
  <c r="AN247" i="2" s="1"/>
  <c r="L247" i="2"/>
  <c r="K247" i="2"/>
  <c r="AL247" i="2" s="1"/>
  <c r="J247" i="2"/>
  <c r="AK247" i="2" s="1"/>
  <c r="I247" i="2"/>
  <c r="F247" i="2"/>
  <c r="BL249" i="2" s="1"/>
  <c r="BJ246" i="2"/>
  <c r="BI246" i="2"/>
  <c r="BH246" i="2"/>
  <c r="BG246" i="2"/>
  <c r="BF246" i="2"/>
  <c r="BE246" i="2"/>
  <c r="BD246" i="2"/>
  <c r="BC246" i="2"/>
  <c r="BB246" i="2"/>
  <c r="BA246" i="2"/>
  <c r="AZ246" i="2"/>
  <c r="AT246" i="2"/>
  <c r="AS246" i="2"/>
  <c r="AP246" i="2"/>
  <c r="AO246" i="2"/>
  <c r="AN246" i="2"/>
  <c r="AM246" i="2"/>
  <c r="AL246" i="2"/>
  <c r="AK246" i="2"/>
  <c r="Y246" i="2"/>
  <c r="AY246" i="2" s="1"/>
  <c r="X246" i="2"/>
  <c r="AX246" i="2" s="1"/>
  <c r="W246" i="2"/>
  <c r="AW246" i="2" s="1"/>
  <c r="V246" i="2"/>
  <c r="AV246" i="2" s="1"/>
  <c r="U246" i="2"/>
  <c r="AU246" i="2" s="1"/>
  <c r="T246" i="2"/>
  <c r="S246" i="2"/>
  <c r="Q246" i="2"/>
  <c r="AQ246" i="2" s="1"/>
  <c r="P246" i="2"/>
  <c r="N246" i="2"/>
  <c r="M246" i="2"/>
  <c r="L246" i="2"/>
  <c r="K246" i="2"/>
  <c r="J246" i="2"/>
  <c r="I246" i="2"/>
  <c r="F246" i="2"/>
  <c r="BJ245" i="2"/>
  <c r="BK245" i="2" s="1"/>
  <c r="BP245" i="2" s="1"/>
  <c r="BI245" i="2"/>
  <c r="BH245" i="2"/>
  <c r="BG245" i="2"/>
  <c r="BE245" i="2"/>
  <c r="BD245" i="2"/>
  <c r="AY245" i="2"/>
  <c r="AX245" i="2"/>
  <c r="AU245" i="2"/>
  <c r="AT245" i="2"/>
  <c r="AS245" i="2"/>
  <c r="AR245" i="2"/>
  <c r="AQ245" i="2"/>
  <c r="AP245" i="2"/>
  <c r="AO245" i="2"/>
  <c r="AN245" i="2"/>
  <c r="AM245" i="2"/>
  <c r="AL245" i="2"/>
  <c r="AK245" i="2"/>
  <c r="W245" i="2"/>
  <c r="AW245" i="2" s="1"/>
  <c r="V245" i="2"/>
  <c r="U245" i="2"/>
  <c r="T245" i="2"/>
  <c r="S245" i="2"/>
  <c r="Q245" i="2"/>
  <c r="P245" i="2"/>
  <c r="N245" i="2"/>
  <c r="M245" i="2"/>
  <c r="L245" i="2"/>
  <c r="K245" i="2"/>
  <c r="J245" i="2"/>
  <c r="F245" i="2"/>
  <c r="BJ244" i="2"/>
  <c r="BI244" i="2"/>
  <c r="BH244" i="2"/>
  <c r="BG244" i="2"/>
  <c r="BF244" i="2"/>
  <c r="BF245" i="2" s="1"/>
  <c r="BE244" i="2"/>
  <c r="BD244" i="2"/>
  <c r="BC244" i="2"/>
  <c r="BC245" i="2" s="1"/>
  <c r="BB244" i="2"/>
  <c r="BB245" i="2" s="1"/>
  <c r="BA244" i="2"/>
  <c r="BA245" i="2" s="1"/>
  <c r="AZ244" i="2"/>
  <c r="AZ245" i="2" s="1"/>
  <c r="AY244" i="2"/>
  <c r="AX244" i="2"/>
  <c r="AW244" i="2"/>
  <c r="AV244" i="2"/>
  <c r="AU244" i="2"/>
  <c r="AT244" i="2"/>
  <c r="AS244" i="2"/>
  <c r="AR244" i="2"/>
  <c r="AQ244" i="2"/>
  <c r="AP244" i="2"/>
  <c r="AO244" i="2"/>
  <c r="AN244" i="2"/>
  <c r="AM244" i="2"/>
  <c r="AL244" i="2"/>
  <c r="W244" i="2"/>
  <c r="V244" i="2"/>
  <c r="U244" i="2"/>
  <c r="T244" i="2"/>
  <c r="S244" i="2"/>
  <c r="Q244" i="2"/>
  <c r="P244" i="2"/>
  <c r="N244" i="2"/>
  <c r="M244" i="2"/>
  <c r="L244" i="2"/>
  <c r="K244" i="2"/>
  <c r="J244" i="2"/>
  <c r="AK244" i="2" s="1"/>
  <c r="I244" i="2"/>
  <c r="F244" i="2"/>
  <c r="BJ243" i="2"/>
  <c r="BK243" i="2" s="1"/>
  <c r="BO243" i="2" s="1"/>
  <c r="BI243" i="2"/>
  <c r="BH243" i="2"/>
  <c r="BG243" i="2"/>
  <c r="BF243" i="2"/>
  <c r="BE243" i="2"/>
  <c r="BD243" i="2"/>
  <c r="BC243" i="2"/>
  <c r="BB243" i="2"/>
  <c r="BA243" i="2"/>
  <c r="AZ243" i="2"/>
  <c r="AY243" i="2"/>
  <c r="AX243" i="2"/>
  <c r="AW243" i="2"/>
  <c r="AS243" i="2"/>
  <c r="AR243" i="2"/>
  <c r="AQ243" i="2"/>
  <c r="AP243" i="2"/>
  <c r="AO243" i="2"/>
  <c r="W243" i="2"/>
  <c r="V243" i="2"/>
  <c r="AV243" i="2" s="1"/>
  <c r="U243" i="2"/>
  <c r="AU243" i="2" s="1"/>
  <c r="T243" i="2"/>
  <c r="AT243" i="2" s="1"/>
  <c r="S243" i="2"/>
  <c r="Q243" i="2"/>
  <c r="P243" i="2"/>
  <c r="N243" i="2"/>
  <c r="M243" i="2"/>
  <c r="AN243" i="2" s="1"/>
  <c r="L243" i="2"/>
  <c r="AM243" i="2" s="1"/>
  <c r="K243" i="2"/>
  <c r="AL243" i="2" s="1"/>
  <c r="J243" i="2"/>
  <c r="AK243" i="2" s="1"/>
  <c r="H243" i="2"/>
  <c r="G243" i="2"/>
  <c r="F243" i="2"/>
  <c r="BN242" i="2"/>
  <c r="BK242" i="2"/>
  <c r="BJ242" i="2"/>
  <c r="BI242" i="2"/>
  <c r="BH242" i="2"/>
  <c r="BG242" i="2"/>
  <c r="BF242" i="2"/>
  <c r="BE242" i="2"/>
  <c r="BD242" i="2"/>
  <c r="BC242" i="2"/>
  <c r="BB242" i="2"/>
  <c r="BA242" i="2"/>
  <c r="AZ242" i="2"/>
  <c r="AO242" i="2"/>
  <c r="AL242" i="2"/>
  <c r="AK242" i="2"/>
  <c r="Y242" i="2"/>
  <c r="AY242" i="2" s="1"/>
  <c r="X242" i="2"/>
  <c r="AX242" i="2" s="1"/>
  <c r="W242" i="2"/>
  <c r="AW242" i="2" s="1"/>
  <c r="V242" i="2"/>
  <c r="AV242" i="2" s="1"/>
  <c r="U242" i="2"/>
  <c r="AU242" i="2" s="1"/>
  <c r="T242" i="2"/>
  <c r="AT242" i="2" s="1"/>
  <c r="S242" i="2"/>
  <c r="AS242" i="2" s="1"/>
  <c r="R242" i="2"/>
  <c r="AR242" i="2" s="1"/>
  <c r="Q242" i="2"/>
  <c r="AQ242" i="2" s="1"/>
  <c r="P242" i="2"/>
  <c r="AP242" i="2" s="1"/>
  <c r="N242" i="2"/>
  <c r="M242" i="2"/>
  <c r="AN242" i="2" s="1"/>
  <c r="L242" i="2"/>
  <c r="AM242" i="2" s="1"/>
  <c r="K242" i="2"/>
  <c r="J242" i="2"/>
  <c r="I242" i="2"/>
  <c r="F242" i="2"/>
  <c r="BJ241" i="2"/>
  <c r="BK241" i="2" s="1"/>
  <c r="BP241" i="2" s="1"/>
  <c r="BI241" i="2"/>
  <c r="BH241" i="2"/>
  <c r="BF241" i="2"/>
  <c r="BE241" i="2"/>
  <c r="BD241" i="2"/>
  <c r="BC241" i="2"/>
  <c r="BB241" i="2"/>
  <c r="BA241" i="2"/>
  <c r="AR241" i="2"/>
  <c r="AO241" i="2"/>
  <c r="AN241" i="2"/>
  <c r="AM241" i="2"/>
  <c r="AL241" i="2"/>
  <c r="AK241" i="2"/>
  <c r="W241" i="2"/>
  <c r="AW241" i="2" s="1"/>
  <c r="V241" i="2"/>
  <c r="AV241" i="2" s="1"/>
  <c r="U241" i="2"/>
  <c r="AU241" i="2" s="1"/>
  <c r="T241" i="2"/>
  <c r="AT241" i="2" s="1"/>
  <c r="S241" i="2"/>
  <c r="AS241" i="2" s="1"/>
  <c r="Q241" i="2"/>
  <c r="AQ241" i="2" s="1"/>
  <c r="P241" i="2"/>
  <c r="AP241" i="2" s="1"/>
  <c r="N241" i="2"/>
  <c r="M241" i="2"/>
  <c r="L241" i="2"/>
  <c r="K241" i="2"/>
  <c r="J241" i="2"/>
  <c r="F241" i="2"/>
  <c r="BJ240" i="2"/>
  <c r="BK240" i="2" s="1"/>
  <c r="BM240" i="2" s="1"/>
  <c r="BI240" i="2"/>
  <c r="BH240" i="2"/>
  <c r="BG240" i="2"/>
  <c r="BG241" i="2" s="1"/>
  <c r="BF240" i="2"/>
  <c r="BE240" i="2"/>
  <c r="BD240" i="2"/>
  <c r="BC240" i="2"/>
  <c r="BB240" i="2"/>
  <c r="BA240" i="2"/>
  <c r="AZ240" i="2"/>
  <c r="AZ241" i="2" s="1"/>
  <c r="AY240" i="2"/>
  <c r="AY241" i="2" s="1"/>
  <c r="AX240" i="2"/>
  <c r="AX241" i="2" s="1"/>
  <c r="AR240" i="2"/>
  <c r="AO240" i="2"/>
  <c r="AN240" i="2"/>
  <c r="AM240" i="2"/>
  <c r="AL240" i="2"/>
  <c r="AK240" i="2"/>
  <c r="W240" i="2"/>
  <c r="AW240" i="2" s="1"/>
  <c r="V240" i="2"/>
  <c r="AV240" i="2" s="1"/>
  <c r="U240" i="2"/>
  <c r="AU240" i="2" s="1"/>
  <c r="T240" i="2"/>
  <c r="AT240" i="2" s="1"/>
  <c r="S240" i="2"/>
  <c r="AS240" i="2" s="1"/>
  <c r="Q240" i="2"/>
  <c r="AQ240" i="2" s="1"/>
  <c r="P240" i="2"/>
  <c r="AP240" i="2" s="1"/>
  <c r="N240" i="2"/>
  <c r="M240" i="2"/>
  <c r="L240" i="2"/>
  <c r="K240" i="2"/>
  <c r="J240" i="2"/>
  <c r="I240" i="2"/>
  <c r="F240" i="2"/>
  <c r="BJ239" i="2"/>
  <c r="BI239" i="2"/>
  <c r="BH239" i="2"/>
  <c r="BG239" i="2"/>
  <c r="BF239" i="2"/>
  <c r="BE239" i="2"/>
  <c r="BD239" i="2"/>
  <c r="BC239" i="2"/>
  <c r="BB239" i="2"/>
  <c r="BA239" i="2"/>
  <c r="AZ239" i="2"/>
  <c r="AY239" i="2"/>
  <c r="AX239" i="2"/>
  <c r="AU239" i="2"/>
  <c r="AT239" i="2"/>
  <c r="AS239" i="2"/>
  <c r="AR239" i="2"/>
  <c r="AQ239" i="2"/>
  <c r="AP239" i="2"/>
  <c r="AO239" i="2"/>
  <c r="AN239" i="2"/>
  <c r="AL239" i="2"/>
  <c r="AK239" i="2"/>
  <c r="W239" i="2"/>
  <c r="AW239" i="2" s="1"/>
  <c r="V239" i="2"/>
  <c r="AV239" i="2" s="1"/>
  <c r="U239" i="2"/>
  <c r="T239" i="2"/>
  <c r="S239" i="2"/>
  <c r="Q239" i="2"/>
  <c r="P239" i="2"/>
  <c r="N239" i="2"/>
  <c r="M239" i="2"/>
  <c r="L239" i="2"/>
  <c r="AM239" i="2" s="1"/>
  <c r="K239" i="2"/>
  <c r="J239" i="2"/>
  <c r="H239" i="2"/>
  <c r="G239" i="2"/>
  <c r="F239" i="2"/>
  <c r="BJ238" i="2"/>
  <c r="BK238" i="2" s="1"/>
  <c r="BN238" i="2" s="1"/>
  <c r="BI238" i="2"/>
  <c r="BH238" i="2"/>
  <c r="BG238" i="2"/>
  <c r="BF238" i="2"/>
  <c r="BE238" i="2"/>
  <c r="BD238" i="2"/>
  <c r="BC238" i="2"/>
  <c r="BB238" i="2"/>
  <c r="BA238" i="2"/>
  <c r="AZ238" i="2"/>
  <c r="AX238" i="2"/>
  <c r="AW238" i="2"/>
  <c r="AV238" i="2"/>
  <c r="AU238" i="2"/>
  <c r="AT238" i="2"/>
  <c r="AP238" i="2"/>
  <c r="AO238" i="2"/>
  <c r="AN238" i="2"/>
  <c r="AM238" i="2"/>
  <c r="AL238" i="2"/>
  <c r="AK238" i="2"/>
  <c r="Y238" i="2"/>
  <c r="AY238" i="2" s="1"/>
  <c r="X238" i="2"/>
  <c r="W238" i="2"/>
  <c r="V238" i="2"/>
  <c r="U238" i="2"/>
  <c r="T238" i="2"/>
  <c r="S238" i="2"/>
  <c r="AS238" i="2" s="1"/>
  <c r="Q238" i="2"/>
  <c r="P238" i="2"/>
  <c r="N238" i="2"/>
  <c r="M238" i="2"/>
  <c r="L238" i="2"/>
  <c r="K238" i="2"/>
  <c r="J238" i="2"/>
  <c r="I238" i="2"/>
  <c r="F238" i="2"/>
  <c r="BJ237" i="2"/>
  <c r="BK237" i="2" s="1"/>
  <c r="BP237" i="2" s="1"/>
  <c r="BI237" i="2"/>
  <c r="AR237" i="2"/>
  <c r="AP237" i="2"/>
  <c r="AO237" i="2"/>
  <c r="W237" i="2"/>
  <c r="V237" i="2"/>
  <c r="AV237" i="2" s="1"/>
  <c r="U237" i="2"/>
  <c r="AU237" i="2" s="1"/>
  <c r="T237" i="2"/>
  <c r="AT237" i="2" s="1"/>
  <c r="S237" i="2"/>
  <c r="AS237" i="2" s="1"/>
  <c r="Q237" i="2"/>
  <c r="AQ237" i="2" s="1"/>
  <c r="P237" i="2"/>
  <c r="N237" i="2"/>
  <c r="M237" i="2"/>
  <c r="AN237" i="2" s="1"/>
  <c r="L237" i="2"/>
  <c r="AM237" i="2" s="1"/>
  <c r="K237" i="2"/>
  <c r="AL237" i="2" s="1"/>
  <c r="J237" i="2"/>
  <c r="AK237" i="2" s="1"/>
  <c r="F237" i="2"/>
  <c r="BM236" i="2"/>
  <c r="BK236" i="2"/>
  <c r="BJ236" i="2"/>
  <c r="BI236" i="2"/>
  <c r="BH236" i="2"/>
  <c r="BH237" i="2" s="1"/>
  <c r="BG236" i="2"/>
  <c r="BG237" i="2" s="1"/>
  <c r="BF236" i="2"/>
  <c r="BF237" i="2" s="1"/>
  <c r="BE236" i="2"/>
  <c r="BE237" i="2" s="1"/>
  <c r="BD236" i="2"/>
  <c r="BD237" i="2" s="1"/>
  <c r="BC236" i="2"/>
  <c r="BC237" i="2" s="1"/>
  <c r="BB236" i="2"/>
  <c r="BB237" i="2" s="1"/>
  <c r="BA236" i="2"/>
  <c r="BA237" i="2" s="1"/>
  <c r="AZ236" i="2"/>
  <c r="AZ237" i="2" s="1"/>
  <c r="AY236" i="2"/>
  <c r="AY237" i="2" s="1"/>
  <c r="AX236" i="2"/>
  <c r="AX237" i="2" s="1"/>
  <c r="AW236" i="2"/>
  <c r="AW237" i="2" s="1"/>
  <c r="AV236" i="2"/>
  <c r="AR236" i="2"/>
  <c r="AO236" i="2"/>
  <c r="V236" i="2"/>
  <c r="U236" i="2"/>
  <c r="AU236" i="2" s="1"/>
  <c r="T236" i="2"/>
  <c r="AT236" i="2" s="1"/>
  <c r="S236" i="2"/>
  <c r="AS236" i="2" s="1"/>
  <c r="Q236" i="2"/>
  <c r="AQ236" i="2" s="1"/>
  <c r="P236" i="2"/>
  <c r="AP236" i="2" s="1"/>
  <c r="N236" i="2"/>
  <c r="M236" i="2"/>
  <c r="AN236" i="2" s="1"/>
  <c r="L236" i="2"/>
  <c r="AM236" i="2" s="1"/>
  <c r="K236" i="2"/>
  <c r="AL236" i="2" s="1"/>
  <c r="J236" i="2"/>
  <c r="AK236" i="2" s="1"/>
  <c r="I236" i="2"/>
  <c r="F236" i="2"/>
  <c r="BO235" i="2"/>
  <c r="BK235" i="2"/>
  <c r="BJ235" i="2"/>
  <c r="BI235" i="2"/>
  <c r="BH235" i="2"/>
  <c r="BG235" i="2"/>
  <c r="BF235" i="2"/>
  <c r="BE235" i="2"/>
  <c r="BD235" i="2"/>
  <c r="BC235" i="2"/>
  <c r="BB235" i="2"/>
  <c r="BA235" i="2"/>
  <c r="AZ235" i="2"/>
  <c r="AY235" i="2"/>
  <c r="AX235" i="2"/>
  <c r="AW235" i="2"/>
  <c r="AV235" i="2"/>
  <c r="AU235" i="2"/>
  <c r="AT235" i="2"/>
  <c r="AS235" i="2"/>
  <c r="AR235" i="2"/>
  <c r="AO235" i="2"/>
  <c r="W235" i="2"/>
  <c r="V235" i="2"/>
  <c r="U235" i="2"/>
  <c r="T235" i="2"/>
  <c r="S235" i="2"/>
  <c r="Q235" i="2"/>
  <c r="AQ235" i="2" s="1"/>
  <c r="P235" i="2"/>
  <c r="AP235" i="2" s="1"/>
  <c r="N235" i="2"/>
  <c r="M235" i="2"/>
  <c r="AN235" i="2" s="1"/>
  <c r="L235" i="2"/>
  <c r="AM235" i="2" s="1"/>
  <c r="K235" i="2"/>
  <c r="AL235" i="2" s="1"/>
  <c r="J235" i="2"/>
  <c r="AK235" i="2" s="1"/>
  <c r="H235" i="2"/>
  <c r="G235" i="2"/>
  <c r="F235" i="2"/>
  <c r="BJ234" i="2"/>
  <c r="BI234" i="2"/>
  <c r="BH234" i="2"/>
  <c r="BG234" i="2"/>
  <c r="BF234" i="2"/>
  <c r="BE234" i="2"/>
  <c r="BD234" i="2"/>
  <c r="BC234" i="2"/>
  <c r="BB234" i="2"/>
  <c r="BA234" i="2"/>
  <c r="AZ234" i="2"/>
  <c r="AW234" i="2"/>
  <c r="AV234" i="2"/>
  <c r="AU234" i="2"/>
  <c r="AO234" i="2"/>
  <c r="AN234" i="2"/>
  <c r="AM234" i="2"/>
  <c r="AL234" i="2"/>
  <c r="AK234" i="2"/>
  <c r="Y234" i="2"/>
  <c r="AY234" i="2" s="1"/>
  <c r="X234" i="2"/>
  <c r="AX234" i="2" s="1"/>
  <c r="W234" i="2"/>
  <c r="V234" i="2"/>
  <c r="U234" i="2"/>
  <c r="T234" i="2"/>
  <c r="AT234" i="2" s="1"/>
  <c r="S234" i="2"/>
  <c r="AS234" i="2" s="1"/>
  <c r="Q234" i="2"/>
  <c r="AQ234" i="2" s="1"/>
  <c r="P234" i="2"/>
  <c r="AP234" i="2" s="1"/>
  <c r="N234" i="2"/>
  <c r="M234" i="2"/>
  <c r="L234" i="2"/>
  <c r="K234" i="2"/>
  <c r="J234" i="2"/>
  <c r="I234" i="2"/>
  <c r="F234" i="2"/>
  <c r="BJ233" i="2"/>
  <c r="BK233" i="2" s="1"/>
  <c r="BP233" i="2" s="1"/>
  <c r="BI233" i="2"/>
  <c r="BH233" i="2"/>
  <c r="BC233" i="2"/>
  <c r="BB233" i="2"/>
  <c r="BA233" i="2"/>
  <c r="AZ233" i="2"/>
  <c r="AT233" i="2"/>
  <c r="AS233" i="2"/>
  <c r="AR233" i="2"/>
  <c r="AQ233" i="2"/>
  <c r="AP233" i="2"/>
  <c r="AO233" i="2"/>
  <c r="AN233" i="2"/>
  <c r="AM233" i="2"/>
  <c r="AL233" i="2"/>
  <c r="AK233" i="2"/>
  <c r="W233" i="2"/>
  <c r="AW233" i="2" s="1"/>
  <c r="V233" i="2"/>
  <c r="AV233" i="2" s="1"/>
  <c r="U233" i="2"/>
  <c r="AU233" i="2" s="1"/>
  <c r="T233" i="2"/>
  <c r="S233" i="2"/>
  <c r="Q233" i="2"/>
  <c r="P233" i="2"/>
  <c r="N233" i="2"/>
  <c r="M233" i="2"/>
  <c r="L233" i="2"/>
  <c r="K233" i="2"/>
  <c r="J233" i="2"/>
  <c r="F233" i="2"/>
  <c r="BJ232" i="2"/>
  <c r="BK232" i="2" s="1"/>
  <c r="BI232" i="2"/>
  <c r="BH232" i="2"/>
  <c r="BG232" i="2"/>
  <c r="BG233" i="2" s="1"/>
  <c r="BF232" i="2"/>
  <c r="BF233" i="2" s="1"/>
  <c r="BE232" i="2"/>
  <c r="BE233" i="2" s="1"/>
  <c r="BD232" i="2"/>
  <c r="BD233" i="2" s="1"/>
  <c r="BC232" i="2"/>
  <c r="BB232" i="2"/>
  <c r="BA232" i="2"/>
  <c r="AZ232" i="2"/>
  <c r="AY232" i="2"/>
  <c r="AY233" i="2" s="1"/>
  <c r="AX232" i="2"/>
  <c r="AX233" i="2" s="1"/>
  <c r="AT232" i="2"/>
  <c r="AS232" i="2"/>
  <c r="AR232" i="2"/>
  <c r="AQ232" i="2"/>
  <c r="AP232" i="2"/>
  <c r="AO232" i="2"/>
  <c r="AN232" i="2"/>
  <c r="AM232" i="2"/>
  <c r="AL232" i="2"/>
  <c r="AK232" i="2"/>
  <c r="W232" i="2"/>
  <c r="AW232" i="2" s="1"/>
  <c r="V232" i="2"/>
  <c r="AV232" i="2" s="1"/>
  <c r="U232" i="2"/>
  <c r="AU232" i="2" s="1"/>
  <c r="T232" i="2"/>
  <c r="S232" i="2"/>
  <c r="Q232" i="2"/>
  <c r="P232" i="2"/>
  <c r="N232" i="2"/>
  <c r="M232" i="2"/>
  <c r="L232" i="2"/>
  <c r="K232" i="2"/>
  <c r="J232" i="2"/>
  <c r="I232" i="2"/>
  <c r="F232" i="2"/>
  <c r="BJ231" i="2"/>
  <c r="BK231" i="2" s="1"/>
  <c r="BO231" i="2" s="1"/>
  <c r="BI231" i="2"/>
  <c r="BH231" i="2"/>
  <c r="BG231" i="2"/>
  <c r="BF231" i="2"/>
  <c r="BE231" i="2"/>
  <c r="BD231" i="2"/>
  <c r="BC231" i="2"/>
  <c r="BB231" i="2"/>
  <c r="BA231" i="2"/>
  <c r="AZ231" i="2"/>
  <c r="AY231" i="2"/>
  <c r="AX231" i="2"/>
  <c r="AW231" i="2"/>
  <c r="AV231" i="2"/>
  <c r="AU231" i="2"/>
  <c r="AT231" i="2"/>
  <c r="AS231" i="2"/>
  <c r="AR231" i="2"/>
  <c r="AQ231" i="2"/>
  <c r="AP231" i="2"/>
  <c r="AO231" i="2"/>
  <c r="AN231" i="2"/>
  <c r="AM231" i="2"/>
  <c r="AL231" i="2"/>
  <c r="AK231" i="2"/>
  <c r="W231" i="2"/>
  <c r="V231" i="2"/>
  <c r="U231" i="2"/>
  <c r="T231" i="2"/>
  <c r="S231" i="2"/>
  <c r="Q231" i="2"/>
  <c r="P231" i="2"/>
  <c r="N231" i="2"/>
  <c r="M231" i="2"/>
  <c r="L231" i="2"/>
  <c r="K231" i="2"/>
  <c r="J231" i="2"/>
  <c r="H231" i="2"/>
  <c r="G231" i="2"/>
  <c r="F231" i="2"/>
  <c r="BJ230" i="2"/>
  <c r="BK230" i="2" s="1"/>
  <c r="BN230" i="2" s="1"/>
  <c r="BI230" i="2"/>
  <c r="BH230" i="2"/>
  <c r="BG230" i="2"/>
  <c r="BF230" i="2"/>
  <c r="BE230" i="2"/>
  <c r="BD230" i="2"/>
  <c r="BC230" i="2"/>
  <c r="BB230" i="2"/>
  <c r="BA230" i="2"/>
  <c r="AZ230" i="2"/>
  <c r="AY230" i="2"/>
  <c r="AX230" i="2"/>
  <c r="AW230" i="2"/>
  <c r="AV230" i="2"/>
  <c r="AS230" i="2"/>
  <c r="AR230" i="2"/>
  <c r="AQ230" i="2"/>
  <c r="AP230" i="2"/>
  <c r="AO230" i="2"/>
  <c r="AN230" i="2"/>
  <c r="Y230" i="2"/>
  <c r="X230" i="2"/>
  <c r="W230" i="2"/>
  <c r="V230" i="2"/>
  <c r="U230" i="2"/>
  <c r="AU230" i="2" s="1"/>
  <c r="T230" i="2"/>
  <c r="AT230" i="2" s="1"/>
  <c r="S230" i="2"/>
  <c r="Q230" i="2"/>
  <c r="R230" i="2" s="1"/>
  <c r="P230" i="2"/>
  <c r="N230" i="2"/>
  <c r="M230" i="2"/>
  <c r="L230" i="2"/>
  <c r="AM230" i="2" s="1"/>
  <c r="K230" i="2"/>
  <c r="AL230" i="2" s="1"/>
  <c r="J230" i="2"/>
  <c r="AK230" i="2" s="1"/>
  <c r="I230" i="2"/>
  <c r="F230" i="2"/>
  <c r="BG229" i="2"/>
  <c r="BF229" i="2"/>
  <c r="BE229" i="2"/>
  <c r="BA229" i="2"/>
  <c r="AZ229" i="2"/>
  <c r="AY229" i="2"/>
  <c r="AX229" i="2"/>
  <c r="AW229" i="2"/>
  <c r="AR229" i="2"/>
  <c r="AQ229" i="2"/>
  <c r="AP229" i="2"/>
  <c r="AO229" i="2"/>
  <c r="W229" i="2"/>
  <c r="V229" i="2"/>
  <c r="AV229" i="2" s="1"/>
  <c r="U229" i="2"/>
  <c r="T229" i="2"/>
  <c r="S229" i="2"/>
  <c r="Q229" i="2"/>
  <c r="P229" i="2"/>
  <c r="N229" i="2"/>
  <c r="M229" i="2"/>
  <c r="AN229" i="2" s="1"/>
  <c r="L229" i="2"/>
  <c r="AM229" i="2" s="1"/>
  <c r="K229" i="2"/>
  <c r="AL229" i="2" s="1"/>
  <c r="J229" i="2"/>
  <c r="AK229" i="2" s="1"/>
  <c r="F229" i="2"/>
  <c r="BK228" i="2"/>
  <c r="BM228" i="2" s="1"/>
  <c r="BJ228" i="2"/>
  <c r="BJ229" i="2" s="1"/>
  <c r="BI228" i="2"/>
  <c r="BI229" i="2" s="1"/>
  <c r="BH228" i="2"/>
  <c r="BH229" i="2" s="1"/>
  <c r="BG228" i="2"/>
  <c r="BF228" i="2"/>
  <c r="BE228" i="2"/>
  <c r="BD228" i="2"/>
  <c r="BD229" i="2" s="1"/>
  <c r="BC228" i="2"/>
  <c r="BC229" i="2" s="1"/>
  <c r="BB228" i="2"/>
  <c r="BB229" i="2" s="1"/>
  <c r="BA228" i="2"/>
  <c r="AZ228" i="2"/>
  <c r="AY228" i="2"/>
  <c r="AX228" i="2"/>
  <c r="AU228" i="2"/>
  <c r="AT228" i="2"/>
  <c r="AS228" i="2"/>
  <c r="AR228" i="2"/>
  <c r="AQ228" i="2"/>
  <c r="AP228" i="2"/>
  <c r="AO228" i="2"/>
  <c r="W228" i="2"/>
  <c r="AW228" i="2" s="1"/>
  <c r="V228" i="2"/>
  <c r="AV228" i="2" s="1"/>
  <c r="U228" i="2"/>
  <c r="T228" i="2"/>
  <c r="S228" i="2"/>
  <c r="Q228" i="2"/>
  <c r="P228" i="2"/>
  <c r="N228" i="2"/>
  <c r="M228" i="2"/>
  <c r="AN228" i="2" s="1"/>
  <c r="L228" i="2"/>
  <c r="AM228" i="2" s="1"/>
  <c r="K228" i="2"/>
  <c r="AL228" i="2" s="1"/>
  <c r="J228" i="2"/>
  <c r="AK228" i="2" s="1"/>
  <c r="I228" i="2"/>
  <c r="F228" i="2"/>
  <c r="BJ227" i="2"/>
  <c r="BK227" i="2" s="1"/>
  <c r="BO227" i="2" s="1"/>
  <c r="BI227" i="2"/>
  <c r="BH227" i="2"/>
  <c r="BG227" i="2"/>
  <c r="BF227" i="2"/>
  <c r="BE227" i="2"/>
  <c r="BD227" i="2"/>
  <c r="BC227" i="2"/>
  <c r="BB227" i="2"/>
  <c r="BA227" i="2"/>
  <c r="AZ227" i="2"/>
  <c r="AY227" i="2"/>
  <c r="AX227" i="2"/>
  <c r="AR227" i="2"/>
  <c r="AO227" i="2"/>
  <c r="AM227" i="2"/>
  <c r="AL227" i="2"/>
  <c r="AK227" i="2"/>
  <c r="W227" i="2"/>
  <c r="AW227" i="2" s="1"/>
  <c r="V227" i="2"/>
  <c r="AV227" i="2" s="1"/>
  <c r="U227" i="2"/>
  <c r="AU227" i="2" s="1"/>
  <c r="T227" i="2"/>
  <c r="AT227" i="2" s="1"/>
  <c r="S227" i="2"/>
  <c r="AS227" i="2" s="1"/>
  <c r="Q227" i="2"/>
  <c r="AQ227" i="2" s="1"/>
  <c r="P227" i="2"/>
  <c r="AP227" i="2" s="1"/>
  <c r="N227" i="2"/>
  <c r="M227" i="2"/>
  <c r="AN227" i="2" s="1"/>
  <c r="L227" i="2"/>
  <c r="K227" i="2"/>
  <c r="J227" i="2"/>
  <c r="H227" i="2"/>
  <c r="G227" i="2"/>
  <c r="F227" i="2"/>
  <c r="BJ226" i="2"/>
  <c r="BI226" i="2"/>
  <c r="BH226" i="2"/>
  <c r="BG226" i="2"/>
  <c r="BF226" i="2"/>
  <c r="BE226" i="2"/>
  <c r="BD226" i="2"/>
  <c r="BC226" i="2"/>
  <c r="BB226" i="2"/>
  <c r="BA226" i="2"/>
  <c r="AZ226" i="2"/>
  <c r="AY226" i="2"/>
  <c r="AP226" i="2"/>
  <c r="AO226" i="2"/>
  <c r="AN226" i="2"/>
  <c r="AM226" i="2"/>
  <c r="AL226" i="2"/>
  <c r="AK226" i="2"/>
  <c r="Y226" i="2"/>
  <c r="X226" i="2"/>
  <c r="AX226" i="2" s="1"/>
  <c r="W226" i="2"/>
  <c r="AW226" i="2" s="1"/>
  <c r="V226" i="2"/>
  <c r="AV226" i="2" s="1"/>
  <c r="U226" i="2"/>
  <c r="AU226" i="2" s="1"/>
  <c r="T226" i="2"/>
  <c r="AT226" i="2" s="1"/>
  <c r="S226" i="2"/>
  <c r="AS226" i="2" s="1"/>
  <c r="Q226" i="2"/>
  <c r="AQ226" i="2" s="1"/>
  <c r="P226" i="2"/>
  <c r="N226" i="2"/>
  <c r="M226" i="2"/>
  <c r="L226" i="2"/>
  <c r="K226" i="2"/>
  <c r="J226" i="2"/>
  <c r="I226" i="2"/>
  <c r="F226" i="2"/>
  <c r="BI225" i="2"/>
  <c r="BH225" i="2"/>
  <c r="BG225" i="2"/>
  <c r="BF225" i="2"/>
  <c r="BE225" i="2"/>
  <c r="BD225" i="2"/>
  <c r="BC225" i="2"/>
  <c r="BB225" i="2"/>
  <c r="BA225" i="2"/>
  <c r="AR225" i="2"/>
  <c r="AQ225" i="2"/>
  <c r="AP225" i="2"/>
  <c r="AO225" i="2"/>
  <c r="AN225" i="2"/>
  <c r="AM225" i="2"/>
  <c r="AL225" i="2"/>
  <c r="AK225" i="2"/>
  <c r="W225" i="2"/>
  <c r="AW225" i="2" s="1"/>
  <c r="V225" i="2"/>
  <c r="AV225" i="2" s="1"/>
  <c r="U225" i="2"/>
  <c r="T225" i="2"/>
  <c r="S225" i="2"/>
  <c r="Q225" i="2"/>
  <c r="P225" i="2"/>
  <c r="N225" i="2"/>
  <c r="M225" i="2"/>
  <c r="L225" i="2"/>
  <c r="K225" i="2"/>
  <c r="J225" i="2"/>
  <c r="F225" i="2"/>
  <c r="BJ224" i="2"/>
  <c r="BJ225" i="2" s="1"/>
  <c r="BK225" i="2" s="1"/>
  <c r="BP225" i="2" s="1"/>
  <c r="BI224" i="2"/>
  <c r="BH224" i="2"/>
  <c r="BG224" i="2"/>
  <c r="BF224" i="2"/>
  <c r="BE224" i="2"/>
  <c r="BD224" i="2"/>
  <c r="BC224" i="2"/>
  <c r="BB224" i="2"/>
  <c r="BA224" i="2"/>
  <c r="AZ224" i="2"/>
  <c r="AZ225" i="2" s="1"/>
  <c r="AY224" i="2"/>
  <c r="AY225" i="2" s="1"/>
  <c r="AX224" i="2"/>
  <c r="AX225" i="2" s="1"/>
  <c r="AS224" i="2"/>
  <c r="AR224" i="2"/>
  <c r="AQ224" i="2"/>
  <c r="AP224" i="2"/>
  <c r="AO224" i="2"/>
  <c r="AN224" i="2"/>
  <c r="AM224" i="2"/>
  <c r="AL224" i="2"/>
  <c r="W224" i="2"/>
  <c r="AW224" i="2" s="1"/>
  <c r="V224" i="2"/>
  <c r="AV224" i="2" s="1"/>
  <c r="U224" i="2"/>
  <c r="AU224" i="2" s="1"/>
  <c r="T224" i="2"/>
  <c r="AT224" i="2" s="1"/>
  <c r="S224" i="2"/>
  <c r="Q224" i="2"/>
  <c r="P224" i="2"/>
  <c r="N224" i="2"/>
  <c r="M224" i="2"/>
  <c r="L224" i="2"/>
  <c r="K224" i="2"/>
  <c r="J224" i="2"/>
  <c r="AK224" i="2" s="1"/>
  <c r="I224" i="2"/>
  <c r="F224" i="2"/>
  <c r="BJ223" i="2"/>
  <c r="BK223" i="2" s="1"/>
  <c r="BO223" i="2" s="1"/>
  <c r="BI223" i="2"/>
  <c r="BH223" i="2"/>
  <c r="BG223" i="2"/>
  <c r="BF223" i="2"/>
  <c r="BE223" i="2"/>
  <c r="BD223" i="2"/>
  <c r="BC223" i="2"/>
  <c r="BB223" i="2"/>
  <c r="BA223" i="2"/>
  <c r="AZ223" i="2"/>
  <c r="AY223" i="2"/>
  <c r="AX223" i="2"/>
  <c r="AV223" i="2"/>
  <c r="AU223" i="2"/>
  <c r="AT223" i="2"/>
  <c r="AS223" i="2"/>
  <c r="AR223" i="2"/>
  <c r="AQ223" i="2"/>
  <c r="AP223" i="2"/>
  <c r="AO223" i="2"/>
  <c r="AN223" i="2"/>
  <c r="W223" i="2"/>
  <c r="AW223" i="2" s="1"/>
  <c r="V223" i="2"/>
  <c r="U223" i="2"/>
  <c r="T223" i="2"/>
  <c r="S223" i="2"/>
  <c r="Q223" i="2"/>
  <c r="P223" i="2"/>
  <c r="N223" i="2"/>
  <c r="M223" i="2"/>
  <c r="L223" i="2"/>
  <c r="AM223" i="2" s="1"/>
  <c r="K223" i="2"/>
  <c r="AL223" i="2" s="1"/>
  <c r="J223" i="2"/>
  <c r="AK223" i="2" s="1"/>
  <c r="H223" i="2"/>
  <c r="G223" i="2"/>
  <c r="F223" i="2"/>
  <c r="BJ222" i="2"/>
  <c r="BK222" i="2" s="1"/>
  <c r="BN222" i="2" s="1"/>
  <c r="BI222" i="2"/>
  <c r="BH222" i="2"/>
  <c r="BG222" i="2"/>
  <c r="BF222" i="2"/>
  <c r="BE222" i="2"/>
  <c r="BD222" i="2"/>
  <c r="BC222" i="2"/>
  <c r="BB222" i="2"/>
  <c r="BA222" i="2"/>
  <c r="AZ222" i="2"/>
  <c r="AY222" i="2"/>
  <c r="AX222" i="2"/>
  <c r="AW222" i="2"/>
  <c r="AV222" i="2"/>
  <c r="AU222" i="2"/>
  <c r="AQ222" i="2"/>
  <c r="AP222" i="2"/>
  <c r="AO222" i="2"/>
  <c r="Y222" i="2"/>
  <c r="X222" i="2"/>
  <c r="W222" i="2"/>
  <c r="V222" i="2"/>
  <c r="U222" i="2"/>
  <c r="T222" i="2"/>
  <c r="AT222" i="2" s="1"/>
  <c r="S222" i="2"/>
  <c r="AS222" i="2" s="1"/>
  <c r="Q222" i="2"/>
  <c r="R222" i="2" s="1"/>
  <c r="AR222" i="2" s="1"/>
  <c r="P222" i="2"/>
  <c r="N222" i="2"/>
  <c r="M222" i="2"/>
  <c r="AN222" i="2" s="1"/>
  <c r="L222" i="2"/>
  <c r="AM222" i="2" s="1"/>
  <c r="K222" i="2"/>
  <c r="AL222" i="2" s="1"/>
  <c r="J222" i="2"/>
  <c r="AK222" i="2" s="1"/>
  <c r="I222" i="2"/>
  <c r="F222" i="2"/>
  <c r="BD221" i="2"/>
  <c r="BC221" i="2"/>
  <c r="BB221" i="2"/>
  <c r="BA221" i="2"/>
  <c r="AW221" i="2"/>
  <c r="AV221" i="2"/>
  <c r="AR221" i="2"/>
  <c r="AQ221" i="2"/>
  <c r="AP221" i="2"/>
  <c r="AO221" i="2"/>
  <c r="AN221" i="2"/>
  <c r="AM221" i="2"/>
  <c r="W221" i="2"/>
  <c r="V221" i="2"/>
  <c r="U221" i="2"/>
  <c r="T221" i="2"/>
  <c r="S221" i="2"/>
  <c r="Q221" i="2"/>
  <c r="P221" i="2"/>
  <c r="N221" i="2"/>
  <c r="M221" i="2"/>
  <c r="L221" i="2"/>
  <c r="K221" i="2"/>
  <c r="AL221" i="2" s="1"/>
  <c r="J221" i="2"/>
  <c r="AK221" i="2" s="1"/>
  <c r="F221" i="2"/>
  <c r="BJ220" i="2"/>
  <c r="BJ221" i="2" s="1"/>
  <c r="BI220" i="2"/>
  <c r="BI221" i="2" s="1"/>
  <c r="BH220" i="2"/>
  <c r="BH221" i="2" s="1"/>
  <c r="BG220" i="2"/>
  <c r="BG221" i="2" s="1"/>
  <c r="BF220" i="2"/>
  <c r="BF221" i="2" s="1"/>
  <c r="BE220" i="2"/>
  <c r="BE221" i="2" s="1"/>
  <c r="BD220" i="2"/>
  <c r="BC220" i="2"/>
  <c r="BB220" i="2"/>
  <c r="BA220" i="2"/>
  <c r="AZ220" i="2"/>
  <c r="AZ221" i="2" s="1"/>
  <c r="AY220" i="2"/>
  <c r="AY221" i="2" s="1"/>
  <c r="AX220" i="2"/>
  <c r="AX221" i="2" s="1"/>
  <c r="AW220" i="2"/>
  <c r="AV220" i="2"/>
  <c r="AU220" i="2"/>
  <c r="AT220" i="2"/>
  <c r="AS220" i="2"/>
  <c r="AR220" i="2"/>
  <c r="AQ220" i="2"/>
  <c r="AP220" i="2"/>
  <c r="AO220" i="2"/>
  <c r="AN220" i="2"/>
  <c r="W220" i="2"/>
  <c r="V220" i="2"/>
  <c r="U220" i="2"/>
  <c r="T220" i="2"/>
  <c r="S220" i="2"/>
  <c r="Q220" i="2"/>
  <c r="P220" i="2"/>
  <c r="N220" i="2"/>
  <c r="M220" i="2"/>
  <c r="L220" i="2"/>
  <c r="AM220" i="2" s="1"/>
  <c r="K220" i="2"/>
  <c r="AL220" i="2" s="1"/>
  <c r="J220" i="2"/>
  <c r="AK220" i="2" s="1"/>
  <c r="I220" i="2"/>
  <c r="F220" i="2"/>
  <c r="BK219" i="2"/>
  <c r="BO219" i="2" s="1"/>
  <c r="BJ219" i="2"/>
  <c r="BI219" i="2"/>
  <c r="BH219" i="2"/>
  <c r="BG219" i="2"/>
  <c r="BF219" i="2"/>
  <c r="BE219" i="2"/>
  <c r="BD219" i="2"/>
  <c r="BC219" i="2"/>
  <c r="BB219" i="2"/>
  <c r="BA219" i="2"/>
  <c r="AZ219" i="2"/>
  <c r="AY219" i="2"/>
  <c r="AX219" i="2"/>
  <c r="AT219" i="2"/>
  <c r="AS219" i="2"/>
  <c r="AR219" i="2"/>
  <c r="AQ219" i="2"/>
  <c r="AO219" i="2"/>
  <c r="AK219" i="2"/>
  <c r="W219" i="2"/>
  <c r="AW219" i="2" s="1"/>
  <c r="V219" i="2"/>
  <c r="AV219" i="2" s="1"/>
  <c r="U219" i="2"/>
  <c r="AU219" i="2" s="1"/>
  <c r="T219" i="2"/>
  <c r="S219" i="2"/>
  <c r="Q219" i="2"/>
  <c r="P219" i="2"/>
  <c r="AP219" i="2" s="1"/>
  <c r="N219" i="2"/>
  <c r="M219" i="2"/>
  <c r="AN219" i="2" s="1"/>
  <c r="L219" i="2"/>
  <c r="AM219" i="2" s="1"/>
  <c r="K219" i="2"/>
  <c r="AL219" i="2" s="1"/>
  <c r="J219" i="2"/>
  <c r="H219" i="2"/>
  <c r="G219" i="2"/>
  <c r="F219" i="2"/>
  <c r="BJ218" i="2"/>
  <c r="BK218" i="2" s="1"/>
  <c r="BN218" i="2" s="1"/>
  <c r="BI218" i="2"/>
  <c r="BH218" i="2"/>
  <c r="BG218" i="2"/>
  <c r="BF218" i="2"/>
  <c r="BE218" i="2"/>
  <c r="BD218" i="2"/>
  <c r="BC218" i="2"/>
  <c r="BB218" i="2"/>
  <c r="BA218" i="2"/>
  <c r="AZ218" i="2"/>
  <c r="AO218" i="2"/>
  <c r="AN218" i="2"/>
  <c r="AM218" i="2"/>
  <c r="AL218" i="2"/>
  <c r="AK218" i="2"/>
  <c r="Y218" i="2"/>
  <c r="AY218" i="2" s="1"/>
  <c r="X218" i="2"/>
  <c r="AX218" i="2" s="1"/>
  <c r="W218" i="2"/>
  <c r="AW218" i="2" s="1"/>
  <c r="V218" i="2"/>
  <c r="AV218" i="2" s="1"/>
  <c r="U218" i="2"/>
  <c r="AU218" i="2" s="1"/>
  <c r="T218" i="2"/>
  <c r="AT218" i="2" s="1"/>
  <c r="S218" i="2"/>
  <c r="AS218" i="2" s="1"/>
  <c r="R218" i="2"/>
  <c r="AR218" i="2" s="1"/>
  <c r="Q218" i="2"/>
  <c r="AQ218" i="2" s="1"/>
  <c r="P218" i="2"/>
  <c r="AP218" i="2" s="1"/>
  <c r="N218" i="2"/>
  <c r="M218" i="2"/>
  <c r="L218" i="2"/>
  <c r="K218" i="2"/>
  <c r="J218" i="2"/>
  <c r="I218" i="2"/>
  <c r="F218" i="2"/>
  <c r="BH217" i="2"/>
  <c r="BG217" i="2"/>
  <c r="BF217" i="2"/>
  <c r="AR217" i="2"/>
  <c r="AP217" i="2"/>
  <c r="AO217" i="2"/>
  <c r="AN217" i="2"/>
  <c r="AM217" i="2"/>
  <c r="AL217" i="2"/>
  <c r="AK217" i="2"/>
  <c r="W217" i="2"/>
  <c r="AW217" i="2" s="1"/>
  <c r="V217" i="2"/>
  <c r="U217" i="2"/>
  <c r="T217" i="2"/>
  <c r="S217" i="2"/>
  <c r="Q217" i="2"/>
  <c r="AQ217" i="2" s="1"/>
  <c r="P217" i="2"/>
  <c r="N217" i="2"/>
  <c r="M217" i="2"/>
  <c r="L217" i="2"/>
  <c r="K217" i="2"/>
  <c r="J217" i="2"/>
  <c r="F217" i="2"/>
  <c r="BJ216" i="2"/>
  <c r="BJ217" i="2" s="1"/>
  <c r="BI216" i="2"/>
  <c r="BI217" i="2" s="1"/>
  <c r="BH216" i="2"/>
  <c r="BG216" i="2"/>
  <c r="BF216" i="2"/>
  <c r="BE216" i="2"/>
  <c r="BE217" i="2" s="1"/>
  <c r="BD216" i="2"/>
  <c r="BD217" i="2" s="1"/>
  <c r="BC216" i="2"/>
  <c r="BC217" i="2" s="1"/>
  <c r="BB216" i="2"/>
  <c r="BB217" i="2" s="1"/>
  <c r="BA216" i="2"/>
  <c r="BA217" i="2" s="1"/>
  <c r="AZ216" i="2"/>
  <c r="AZ217" i="2" s="1"/>
  <c r="AY216" i="2"/>
  <c r="AY217" i="2" s="1"/>
  <c r="AX216" i="2"/>
  <c r="AX217" i="2" s="1"/>
  <c r="AR216" i="2"/>
  <c r="AO216" i="2"/>
  <c r="AN216" i="2"/>
  <c r="AM216" i="2"/>
  <c r="AL216" i="2"/>
  <c r="AK216" i="2"/>
  <c r="W216" i="2"/>
  <c r="AW216" i="2" s="1"/>
  <c r="V216" i="2"/>
  <c r="AV216" i="2" s="1"/>
  <c r="U216" i="2"/>
  <c r="AU216" i="2" s="1"/>
  <c r="T216" i="2"/>
  <c r="AT216" i="2" s="1"/>
  <c r="S216" i="2"/>
  <c r="AS216" i="2" s="1"/>
  <c r="Q216" i="2"/>
  <c r="AQ216" i="2" s="1"/>
  <c r="P216" i="2"/>
  <c r="AP216" i="2" s="1"/>
  <c r="N216" i="2"/>
  <c r="M216" i="2"/>
  <c r="L216" i="2"/>
  <c r="K216" i="2"/>
  <c r="J216" i="2"/>
  <c r="I216" i="2"/>
  <c r="F216" i="2"/>
  <c r="BJ215" i="2"/>
  <c r="BI215" i="2"/>
  <c r="BH215" i="2"/>
  <c r="BG215" i="2"/>
  <c r="BF215" i="2"/>
  <c r="BE215" i="2"/>
  <c r="BD215" i="2"/>
  <c r="BC215" i="2"/>
  <c r="BB215" i="2"/>
  <c r="BA215" i="2"/>
  <c r="AZ215" i="2"/>
  <c r="AY215" i="2"/>
  <c r="AX215" i="2"/>
  <c r="AT215" i="2"/>
  <c r="AR215" i="2"/>
  <c r="AQ215" i="2"/>
  <c r="AP215" i="2"/>
  <c r="AO215" i="2"/>
  <c r="AN215" i="2"/>
  <c r="AM215" i="2"/>
  <c r="AL215" i="2"/>
  <c r="AK215" i="2"/>
  <c r="W215" i="2"/>
  <c r="AW215" i="2" s="1"/>
  <c r="V215" i="2"/>
  <c r="AV215" i="2" s="1"/>
  <c r="U215" i="2"/>
  <c r="AU215" i="2" s="1"/>
  <c r="T215" i="2"/>
  <c r="S215" i="2"/>
  <c r="AS215" i="2" s="1"/>
  <c r="Q215" i="2"/>
  <c r="P215" i="2"/>
  <c r="N215" i="2"/>
  <c r="M215" i="2"/>
  <c r="L215" i="2"/>
  <c r="K215" i="2"/>
  <c r="J215" i="2"/>
  <c r="H215" i="2"/>
  <c r="G215" i="2"/>
  <c r="F215" i="2"/>
  <c r="BJ214" i="2"/>
  <c r="BI214" i="2"/>
  <c r="BH214" i="2"/>
  <c r="BG214" i="2"/>
  <c r="BF214" i="2"/>
  <c r="BE214" i="2"/>
  <c r="BD214" i="2"/>
  <c r="BC214" i="2"/>
  <c r="BB214" i="2"/>
  <c r="BA214" i="2"/>
  <c r="AZ214" i="2"/>
  <c r="AW214" i="2"/>
  <c r="AV214" i="2"/>
  <c r="AU214" i="2"/>
  <c r="AT214" i="2"/>
  <c r="AS214" i="2"/>
  <c r="AO214" i="2"/>
  <c r="AN214" i="2"/>
  <c r="AM214" i="2"/>
  <c r="AL214" i="2"/>
  <c r="AK214" i="2"/>
  <c r="Y214" i="2"/>
  <c r="AY214" i="2" s="1"/>
  <c r="X214" i="2"/>
  <c r="AX214" i="2" s="1"/>
  <c r="W214" i="2"/>
  <c r="V214" i="2"/>
  <c r="U214" i="2"/>
  <c r="T214" i="2"/>
  <c r="S214" i="2"/>
  <c r="Q214" i="2"/>
  <c r="AQ214" i="2" s="1"/>
  <c r="P214" i="2"/>
  <c r="AP214" i="2" s="1"/>
  <c r="N214" i="2"/>
  <c r="M214" i="2"/>
  <c r="L214" i="2"/>
  <c r="K214" i="2"/>
  <c r="J214" i="2"/>
  <c r="I214" i="2"/>
  <c r="F214" i="2"/>
  <c r="BJ213" i="2"/>
  <c r="BK213" i="2" s="1"/>
  <c r="BP213" i="2" s="1"/>
  <c r="BI213" i="2"/>
  <c r="BH213" i="2"/>
  <c r="BB213" i="2"/>
  <c r="BA213" i="2"/>
  <c r="AZ213" i="2"/>
  <c r="AY213" i="2"/>
  <c r="AX213" i="2"/>
  <c r="AW213" i="2"/>
  <c r="AV213" i="2"/>
  <c r="AR213" i="2"/>
  <c r="AQ213" i="2"/>
  <c r="AO213" i="2"/>
  <c r="W213" i="2"/>
  <c r="V213" i="2"/>
  <c r="U213" i="2"/>
  <c r="T213" i="2"/>
  <c r="S213" i="2"/>
  <c r="Q213" i="2"/>
  <c r="P213" i="2"/>
  <c r="AP213" i="2" s="1"/>
  <c r="N213" i="2"/>
  <c r="M213" i="2"/>
  <c r="AN213" i="2" s="1"/>
  <c r="L213" i="2"/>
  <c r="AM213" i="2" s="1"/>
  <c r="K213" i="2"/>
  <c r="AL213" i="2" s="1"/>
  <c r="J213" i="2"/>
  <c r="AK213" i="2" s="1"/>
  <c r="F213" i="2"/>
  <c r="BM212" i="2"/>
  <c r="BK212" i="2"/>
  <c r="BJ212" i="2"/>
  <c r="BI212" i="2"/>
  <c r="BH212" i="2"/>
  <c r="BG212" i="2"/>
  <c r="BG213" i="2" s="1"/>
  <c r="BF212" i="2"/>
  <c r="BF213" i="2" s="1"/>
  <c r="BE212" i="2"/>
  <c r="BE213" i="2" s="1"/>
  <c r="BD212" i="2"/>
  <c r="BD213" i="2" s="1"/>
  <c r="BC212" i="2"/>
  <c r="BC213" i="2" s="1"/>
  <c r="BB212" i="2"/>
  <c r="BA212" i="2"/>
  <c r="AZ212" i="2"/>
  <c r="AY212" i="2"/>
  <c r="AX212" i="2"/>
  <c r="AW212" i="2"/>
  <c r="AV212" i="2"/>
  <c r="AU212" i="2"/>
  <c r="AT212" i="2"/>
  <c r="AS212" i="2"/>
  <c r="AR212" i="2"/>
  <c r="AO212" i="2"/>
  <c r="AL212" i="2"/>
  <c r="W212" i="2"/>
  <c r="V212" i="2"/>
  <c r="U212" i="2"/>
  <c r="T212" i="2"/>
  <c r="S212" i="2"/>
  <c r="Q212" i="2"/>
  <c r="AQ212" i="2" s="1"/>
  <c r="P212" i="2"/>
  <c r="AP212" i="2" s="1"/>
  <c r="N212" i="2"/>
  <c r="M212" i="2"/>
  <c r="AN212" i="2" s="1"/>
  <c r="L212" i="2"/>
  <c r="AM212" i="2" s="1"/>
  <c r="K212" i="2"/>
  <c r="J212" i="2"/>
  <c r="AK212" i="2" s="1"/>
  <c r="I212" i="2"/>
  <c r="F212" i="2"/>
  <c r="BJ211" i="2"/>
  <c r="BK211" i="2" s="1"/>
  <c r="BO211" i="2" s="1"/>
  <c r="BI211" i="2"/>
  <c r="BH211" i="2"/>
  <c r="BG211" i="2"/>
  <c r="BF211" i="2"/>
  <c r="BE211" i="2"/>
  <c r="BD211" i="2"/>
  <c r="BC211" i="2"/>
  <c r="BB211" i="2"/>
  <c r="BA211" i="2"/>
  <c r="AZ211" i="2"/>
  <c r="AY211" i="2"/>
  <c r="AX211" i="2"/>
  <c r="AW211" i="2"/>
  <c r="AR211" i="2"/>
  <c r="AO211" i="2"/>
  <c r="W211" i="2"/>
  <c r="V211" i="2"/>
  <c r="AV211" i="2" s="1"/>
  <c r="U211" i="2"/>
  <c r="AU211" i="2" s="1"/>
  <c r="T211" i="2"/>
  <c r="AT211" i="2" s="1"/>
  <c r="S211" i="2"/>
  <c r="AS211" i="2" s="1"/>
  <c r="Q211" i="2"/>
  <c r="AQ211" i="2" s="1"/>
  <c r="P211" i="2"/>
  <c r="AP211" i="2" s="1"/>
  <c r="N211" i="2"/>
  <c r="M211" i="2"/>
  <c r="AN211" i="2" s="1"/>
  <c r="L211" i="2"/>
  <c r="AM211" i="2" s="1"/>
  <c r="K211" i="2"/>
  <c r="AL211" i="2" s="1"/>
  <c r="J211" i="2"/>
  <c r="AK211" i="2" s="1"/>
  <c r="H211" i="2"/>
  <c r="G211" i="2"/>
  <c r="F211" i="2"/>
  <c r="BN210" i="2"/>
  <c r="BJ210" i="2"/>
  <c r="BK210" i="2" s="1"/>
  <c r="BI210" i="2"/>
  <c r="BH210" i="2"/>
  <c r="BG210" i="2"/>
  <c r="BF210" i="2"/>
  <c r="BE210" i="2"/>
  <c r="BD210" i="2"/>
  <c r="BC210" i="2"/>
  <c r="BB210" i="2"/>
  <c r="BA210" i="2"/>
  <c r="AZ210" i="2"/>
  <c r="AY210" i="2"/>
  <c r="AX210" i="2"/>
  <c r="AW210" i="2"/>
  <c r="AV210" i="2"/>
  <c r="AU210" i="2"/>
  <c r="AT210" i="2"/>
  <c r="AS210" i="2"/>
  <c r="AO210" i="2"/>
  <c r="AL210" i="2"/>
  <c r="AK210" i="2"/>
  <c r="Y210" i="2"/>
  <c r="X210" i="2"/>
  <c r="W210" i="2"/>
  <c r="V210" i="2"/>
  <c r="U210" i="2"/>
  <c r="T210" i="2"/>
  <c r="S210" i="2"/>
  <c r="Q210" i="2"/>
  <c r="P210" i="2"/>
  <c r="AP210" i="2" s="1"/>
  <c r="N210" i="2"/>
  <c r="M210" i="2"/>
  <c r="AN210" i="2" s="1"/>
  <c r="L210" i="2"/>
  <c r="AM210" i="2" s="1"/>
  <c r="K210" i="2"/>
  <c r="J210" i="2"/>
  <c r="I210" i="2"/>
  <c r="F210" i="2"/>
  <c r="BH209" i="2"/>
  <c r="BG209" i="2"/>
  <c r="BF209" i="2"/>
  <c r="BE209" i="2"/>
  <c r="BD209" i="2"/>
  <c r="BC209" i="2"/>
  <c r="BB209" i="2"/>
  <c r="BA209" i="2"/>
  <c r="AZ209" i="2"/>
  <c r="AY209" i="2"/>
  <c r="AX209" i="2"/>
  <c r="AW209" i="2"/>
  <c r="AR209" i="2"/>
  <c r="AQ209" i="2"/>
  <c r="AP209" i="2"/>
  <c r="AO209" i="2"/>
  <c r="AN209" i="2"/>
  <c r="AM209" i="2"/>
  <c r="AL209" i="2"/>
  <c r="AK209" i="2"/>
  <c r="W209" i="2"/>
  <c r="V209" i="2"/>
  <c r="AV209" i="2" s="1"/>
  <c r="U209" i="2"/>
  <c r="AU209" i="2" s="1"/>
  <c r="T209" i="2"/>
  <c r="AT209" i="2" s="1"/>
  <c r="S209" i="2"/>
  <c r="AS209" i="2" s="1"/>
  <c r="Q209" i="2"/>
  <c r="P209" i="2"/>
  <c r="N209" i="2"/>
  <c r="M209" i="2"/>
  <c r="L209" i="2"/>
  <c r="K209" i="2"/>
  <c r="J209" i="2"/>
  <c r="F209" i="2"/>
  <c r="BJ208" i="2"/>
  <c r="BI208" i="2"/>
  <c r="BI209" i="2" s="1"/>
  <c r="BH208" i="2"/>
  <c r="BG208" i="2"/>
  <c r="BF208" i="2"/>
  <c r="BE208" i="2"/>
  <c r="BD208" i="2"/>
  <c r="BC208" i="2"/>
  <c r="BB208" i="2"/>
  <c r="BA208" i="2"/>
  <c r="AZ208" i="2"/>
  <c r="AY208" i="2"/>
  <c r="AX208" i="2"/>
  <c r="AR208" i="2"/>
  <c r="AQ208" i="2"/>
  <c r="AP208" i="2"/>
  <c r="AO208" i="2"/>
  <c r="AN208" i="2"/>
  <c r="AM208" i="2"/>
  <c r="AL208" i="2"/>
  <c r="AK208" i="2"/>
  <c r="W208" i="2"/>
  <c r="AW208" i="2" s="1"/>
  <c r="V208" i="2"/>
  <c r="AV208" i="2" s="1"/>
  <c r="U208" i="2"/>
  <c r="AU208" i="2" s="1"/>
  <c r="T208" i="2"/>
  <c r="AT208" i="2" s="1"/>
  <c r="S208" i="2"/>
  <c r="AS208" i="2" s="1"/>
  <c r="Q208" i="2"/>
  <c r="P208" i="2"/>
  <c r="N208" i="2"/>
  <c r="M208" i="2"/>
  <c r="L208" i="2"/>
  <c r="K208" i="2"/>
  <c r="J208" i="2"/>
  <c r="I208" i="2"/>
  <c r="F208" i="2"/>
  <c r="BJ207" i="2"/>
  <c r="BK207" i="2" s="1"/>
  <c r="BO207" i="2" s="1"/>
  <c r="BI207" i="2"/>
  <c r="BH207" i="2"/>
  <c r="BG207" i="2"/>
  <c r="BF207" i="2"/>
  <c r="BE207" i="2"/>
  <c r="BD207" i="2"/>
  <c r="BC207" i="2"/>
  <c r="BB207" i="2"/>
  <c r="BA207" i="2"/>
  <c r="AZ207" i="2"/>
  <c r="AY207" i="2"/>
  <c r="AX207" i="2"/>
  <c r="AU207" i="2"/>
  <c r="AT207" i="2"/>
  <c r="AS207" i="2"/>
  <c r="AR207" i="2"/>
  <c r="AQ207" i="2"/>
  <c r="AP207" i="2"/>
  <c r="AO207" i="2"/>
  <c r="AN207" i="2"/>
  <c r="AM207" i="2"/>
  <c r="AL207" i="2"/>
  <c r="AK207" i="2"/>
  <c r="W207" i="2"/>
  <c r="AW207" i="2" s="1"/>
  <c r="V207" i="2"/>
  <c r="AV207" i="2" s="1"/>
  <c r="U207" i="2"/>
  <c r="T207" i="2"/>
  <c r="S207" i="2"/>
  <c r="Q207" i="2"/>
  <c r="P207" i="2"/>
  <c r="N207" i="2"/>
  <c r="M207" i="2"/>
  <c r="L207" i="2"/>
  <c r="K207" i="2"/>
  <c r="J207" i="2"/>
  <c r="H207" i="2"/>
  <c r="G207" i="2"/>
  <c r="F207" i="2"/>
  <c r="BJ206" i="2"/>
  <c r="BK206" i="2" s="1"/>
  <c r="BN206" i="2" s="1"/>
  <c r="BI206" i="2"/>
  <c r="BH206" i="2"/>
  <c r="BG206" i="2"/>
  <c r="BF206" i="2"/>
  <c r="BE206" i="2"/>
  <c r="BD206" i="2"/>
  <c r="BC206" i="2"/>
  <c r="BB206" i="2"/>
  <c r="BA206" i="2"/>
  <c r="AZ206" i="2"/>
  <c r="AX206" i="2"/>
  <c r="AW206" i="2"/>
  <c r="AV206" i="2"/>
  <c r="AU206" i="2"/>
  <c r="AT206" i="2"/>
  <c r="AS206" i="2"/>
  <c r="AR206" i="2"/>
  <c r="AQ206" i="2"/>
  <c r="AP206" i="2"/>
  <c r="AO206" i="2"/>
  <c r="AN206" i="2"/>
  <c r="AM206" i="2"/>
  <c r="Y206" i="2"/>
  <c r="AY206" i="2" s="1"/>
  <c r="X206" i="2"/>
  <c r="W206" i="2"/>
  <c r="V206" i="2"/>
  <c r="U206" i="2"/>
  <c r="T206" i="2"/>
  <c r="S206" i="2"/>
  <c r="Q206" i="2"/>
  <c r="R206" i="2" s="1"/>
  <c r="P206" i="2"/>
  <c r="N206" i="2"/>
  <c r="M206" i="2"/>
  <c r="L206" i="2"/>
  <c r="K206" i="2"/>
  <c r="AL206" i="2" s="1"/>
  <c r="J206" i="2"/>
  <c r="AK206" i="2" s="1"/>
  <c r="I206" i="2"/>
  <c r="F206" i="2"/>
  <c r="BP205" i="2"/>
  <c r="BK205" i="2"/>
  <c r="BA205" i="2"/>
  <c r="AZ205" i="2"/>
  <c r="AY205" i="2"/>
  <c r="AX205" i="2"/>
  <c r="AV205" i="2"/>
  <c r="AR205" i="2"/>
  <c r="AQ205" i="2"/>
  <c r="AP205" i="2"/>
  <c r="AO205" i="2"/>
  <c r="AM205" i="2"/>
  <c r="AL205" i="2"/>
  <c r="AK205" i="2"/>
  <c r="W205" i="2"/>
  <c r="V205" i="2"/>
  <c r="U205" i="2"/>
  <c r="T205" i="2"/>
  <c r="S205" i="2"/>
  <c r="Q205" i="2"/>
  <c r="P205" i="2"/>
  <c r="N205" i="2"/>
  <c r="M205" i="2"/>
  <c r="AN205" i="2" s="1"/>
  <c r="L205" i="2"/>
  <c r="K205" i="2"/>
  <c r="J205" i="2"/>
  <c r="F205" i="2"/>
  <c r="BJ204" i="2"/>
  <c r="BK204" i="2" s="1"/>
  <c r="BI204" i="2"/>
  <c r="BH204" i="2"/>
  <c r="BH205" i="2" s="1"/>
  <c r="BG204" i="2"/>
  <c r="BG205" i="2" s="1"/>
  <c r="BF204" i="2"/>
  <c r="BF205" i="2" s="1"/>
  <c r="BE204" i="2"/>
  <c r="BE205" i="2" s="1"/>
  <c r="BD204" i="2"/>
  <c r="BD205" i="2" s="1"/>
  <c r="BC204" i="2"/>
  <c r="BC205" i="2" s="1"/>
  <c r="BB204" i="2"/>
  <c r="BB205" i="2" s="1"/>
  <c r="BA204" i="2"/>
  <c r="AZ204" i="2"/>
  <c r="AY204" i="2"/>
  <c r="AX204" i="2"/>
  <c r="AW204" i="2"/>
  <c r="AV204" i="2"/>
  <c r="AU204" i="2"/>
  <c r="AT204" i="2"/>
  <c r="AS204" i="2"/>
  <c r="AR204" i="2"/>
  <c r="AQ204" i="2"/>
  <c r="AP204" i="2"/>
  <c r="AO204" i="2"/>
  <c r="AN204" i="2"/>
  <c r="AM204" i="2"/>
  <c r="AL204" i="2"/>
  <c r="AK204" i="2"/>
  <c r="W204" i="2"/>
  <c r="V204" i="2"/>
  <c r="U204" i="2"/>
  <c r="T204" i="2"/>
  <c r="S204" i="2"/>
  <c r="Q204" i="2"/>
  <c r="P204" i="2"/>
  <c r="N204" i="2"/>
  <c r="M204" i="2"/>
  <c r="L204" i="2"/>
  <c r="K204" i="2"/>
  <c r="J204" i="2"/>
  <c r="I204" i="2"/>
  <c r="F204" i="2"/>
  <c r="BJ203" i="2"/>
  <c r="BK203" i="2" s="1"/>
  <c r="BO203" i="2" s="1"/>
  <c r="BI203" i="2"/>
  <c r="BH203" i="2"/>
  <c r="BG203" i="2"/>
  <c r="BF203" i="2"/>
  <c r="BE203" i="2"/>
  <c r="BD203" i="2"/>
  <c r="BC203" i="2"/>
  <c r="BB203" i="2"/>
  <c r="BA203" i="2"/>
  <c r="AZ203" i="2"/>
  <c r="AY203" i="2"/>
  <c r="AX203" i="2"/>
  <c r="AW203" i="2"/>
  <c r="AV203" i="2"/>
  <c r="AU203" i="2"/>
  <c r="AT203" i="2"/>
  <c r="AS203" i="2"/>
  <c r="AR203" i="2"/>
  <c r="AQ203" i="2"/>
  <c r="AP203" i="2"/>
  <c r="AO203" i="2"/>
  <c r="AN203" i="2"/>
  <c r="W203" i="2"/>
  <c r="V203" i="2"/>
  <c r="U203" i="2"/>
  <c r="T203" i="2"/>
  <c r="S203" i="2"/>
  <c r="Q203" i="2"/>
  <c r="P203" i="2"/>
  <c r="N203" i="2"/>
  <c r="M203" i="2"/>
  <c r="L203" i="2"/>
  <c r="AM203" i="2" s="1"/>
  <c r="K203" i="2"/>
  <c r="AL203" i="2" s="1"/>
  <c r="J203" i="2"/>
  <c r="AK203" i="2" s="1"/>
  <c r="H203" i="2"/>
  <c r="G203" i="2"/>
  <c r="F203" i="2"/>
  <c r="BK202" i="2"/>
  <c r="BN202" i="2" s="1"/>
  <c r="BJ202" i="2"/>
  <c r="BI202" i="2"/>
  <c r="BH202" i="2"/>
  <c r="BG202" i="2"/>
  <c r="BF202" i="2"/>
  <c r="BE202" i="2"/>
  <c r="BD202" i="2"/>
  <c r="BC202" i="2"/>
  <c r="BB202" i="2"/>
  <c r="BA202" i="2"/>
  <c r="AZ202" i="2"/>
  <c r="AV202" i="2"/>
  <c r="AU202" i="2"/>
  <c r="AT202" i="2"/>
  <c r="AS202" i="2"/>
  <c r="AR202" i="2"/>
  <c r="AO202" i="2"/>
  <c r="AK202" i="2"/>
  <c r="Y202" i="2"/>
  <c r="AY202" i="2" s="1"/>
  <c r="X202" i="2"/>
  <c r="AX202" i="2" s="1"/>
  <c r="W202" i="2"/>
  <c r="AW202" i="2" s="1"/>
  <c r="V202" i="2"/>
  <c r="U202" i="2"/>
  <c r="T202" i="2"/>
  <c r="S202" i="2"/>
  <c r="Q202" i="2"/>
  <c r="R202" i="2" s="1"/>
  <c r="P202" i="2"/>
  <c r="AP202" i="2" s="1"/>
  <c r="N202" i="2"/>
  <c r="M202" i="2"/>
  <c r="AN202" i="2" s="1"/>
  <c r="L202" i="2"/>
  <c r="AM202" i="2" s="1"/>
  <c r="K202" i="2"/>
  <c r="AL202" i="2" s="1"/>
  <c r="J202" i="2"/>
  <c r="I202" i="2"/>
  <c r="F202" i="2"/>
  <c r="BJ201" i="2"/>
  <c r="BK201" i="2" s="1"/>
  <c r="BP201" i="2" s="1"/>
  <c r="BI201" i="2"/>
  <c r="BH201" i="2"/>
  <c r="BA201" i="2"/>
  <c r="AZ201" i="2"/>
  <c r="AY201" i="2"/>
  <c r="AX201" i="2"/>
  <c r="AR201" i="2"/>
  <c r="AQ201" i="2"/>
  <c r="AP201" i="2"/>
  <c r="AO201" i="2"/>
  <c r="AL201" i="2"/>
  <c r="AK201" i="2"/>
  <c r="W201" i="2"/>
  <c r="AW201" i="2" s="1"/>
  <c r="V201" i="2"/>
  <c r="AV201" i="2" s="1"/>
  <c r="U201" i="2"/>
  <c r="AU201" i="2" s="1"/>
  <c r="T201" i="2"/>
  <c r="AT201" i="2" s="1"/>
  <c r="S201" i="2"/>
  <c r="AS201" i="2" s="1"/>
  <c r="Q201" i="2"/>
  <c r="P201" i="2"/>
  <c r="N201" i="2"/>
  <c r="M201" i="2"/>
  <c r="AN201" i="2" s="1"/>
  <c r="L201" i="2"/>
  <c r="AM201" i="2" s="1"/>
  <c r="K201" i="2"/>
  <c r="J201" i="2"/>
  <c r="F201" i="2"/>
  <c r="BJ200" i="2"/>
  <c r="BK200" i="2" s="1"/>
  <c r="BI200" i="2"/>
  <c r="BH200" i="2"/>
  <c r="BG200" i="2"/>
  <c r="BG201" i="2" s="1"/>
  <c r="BF200" i="2"/>
  <c r="BF201" i="2" s="1"/>
  <c r="BE200" i="2"/>
  <c r="BE201" i="2" s="1"/>
  <c r="BD200" i="2"/>
  <c r="BD201" i="2" s="1"/>
  <c r="BC200" i="2"/>
  <c r="BC201" i="2" s="1"/>
  <c r="BB200" i="2"/>
  <c r="BB201" i="2" s="1"/>
  <c r="BA200" i="2"/>
  <c r="AZ200" i="2"/>
  <c r="AY200" i="2"/>
  <c r="AX200" i="2"/>
  <c r="AU200" i="2"/>
  <c r="AT200" i="2"/>
  <c r="AS200" i="2"/>
  <c r="AR200" i="2"/>
  <c r="AQ200" i="2"/>
  <c r="AP200" i="2"/>
  <c r="AO200" i="2"/>
  <c r="AM200" i="2"/>
  <c r="AL200" i="2"/>
  <c r="AK200" i="2"/>
  <c r="W200" i="2"/>
  <c r="AW200" i="2" s="1"/>
  <c r="V200" i="2"/>
  <c r="AV200" i="2" s="1"/>
  <c r="U200" i="2"/>
  <c r="T200" i="2"/>
  <c r="S200" i="2"/>
  <c r="Q200" i="2"/>
  <c r="P200" i="2"/>
  <c r="N200" i="2"/>
  <c r="M200" i="2"/>
  <c r="AN200" i="2" s="1"/>
  <c r="L200" i="2"/>
  <c r="K200" i="2"/>
  <c r="J200" i="2"/>
  <c r="I200" i="2"/>
  <c r="F200" i="2"/>
  <c r="BJ199" i="2"/>
  <c r="BI199" i="2"/>
  <c r="BH199" i="2"/>
  <c r="BG199" i="2"/>
  <c r="BF199" i="2"/>
  <c r="BE199" i="2"/>
  <c r="BD199" i="2"/>
  <c r="BC199" i="2"/>
  <c r="BB199" i="2"/>
  <c r="BA199" i="2"/>
  <c r="AZ199" i="2"/>
  <c r="AY199" i="2"/>
  <c r="AX199" i="2"/>
  <c r="AW199" i="2"/>
  <c r="AV199" i="2"/>
  <c r="AU199" i="2"/>
  <c r="AT199" i="2"/>
  <c r="AR199" i="2"/>
  <c r="AO199" i="2"/>
  <c r="AL199" i="2"/>
  <c r="W199" i="2"/>
  <c r="V199" i="2"/>
  <c r="U199" i="2"/>
  <c r="T199" i="2"/>
  <c r="S199" i="2"/>
  <c r="AS199" i="2" s="1"/>
  <c r="Q199" i="2"/>
  <c r="AQ199" i="2" s="1"/>
  <c r="P199" i="2"/>
  <c r="AP199" i="2" s="1"/>
  <c r="N199" i="2"/>
  <c r="M199" i="2"/>
  <c r="AN199" i="2" s="1"/>
  <c r="L199" i="2"/>
  <c r="AM199" i="2" s="1"/>
  <c r="K199" i="2"/>
  <c r="J199" i="2"/>
  <c r="AK199" i="2" s="1"/>
  <c r="H199" i="2"/>
  <c r="G199" i="2"/>
  <c r="F199" i="2"/>
  <c r="BJ198" i="2"/>
  <c r="BI198" i="2"/>
  <c r="BH198" i="2"/>
  <c r="BG198" i="2"/>
  <c r="BF198" i="2"/>
  <c r="BE198" i="2"/>
  <c r="BD198" i="2"/>
  <c r="BC198" i="2"/>
  <c r="BB198" i="2"/>
  <c r="BA198" i="2"/>
  <c r="AZ198" i="2"/>
  <c r="AY198" i="2"/>
  <c r="AX198" i="2"/>
  <c r="AO198" i="2"/>
  <c r="Y198" i="2"/>
  <c r="X198" i="2"/>
  <c r="W198" i="2"/>
  <c r="AW198" i="2" s="1"/>
  <c r="V198" i="2"/>
  <c r="AV198" i="2" s="1"/>
  <c r="U198" i="2"/>
  <c r="AU198" i="2" s="1"/>
  <c r="T198" i="2"/>
  <c r="AT198" i="2" s="1"/>
  <c r="S198" i="2"/>
  <c r="AS198" i="2" s="1"/>
  <c r="Q198" i="2"/>
  <c r="AQ198" i="2" s="1"/>
  <c r="P198" i="2"/>
  <c r="AP198" i="2" s="1"/>
  <c r="N198" i="2"/>
  <c r="M198" i="2"/>
  <c r="AN198" i="2" s="1"/>
  <c r="L198" i="2"/>
  <c r="AM198" i="2" s="1"/>
  <c r="K198" i="2"/>
  <c r="AL198" i="2" s="1"/>
  <c r="J198" i="2"/>
  <c r="AK198" i="2" s="1"/>
  <c r="I198" i="2"/>
  <c r="F198" i="2"/>
  <c r="BJ197" i="2"/>
  <c r="BK197" i="2" s="1"/>
  <c r="BI197" i="2"/>
  <c r="BH197" i="2"/>
  <c r="BG197" i="2"/>
  <c r="BD197" i="2"/>
  <c r="BC197" i="2"/>
  <c r="BB197" i="2"/>
  <c r="BA197" i="2"/>
  <c r="AZ197" i="2"/>
  <c r="AY197" i="2"/>
  <c r="AX197" i="2"/>
  <c r="AW197" i="2"/>
  <c r="AR197" i="2"/>
  <c r="AO197" i="2"/>
  <c r="AL197" i="2"/>
  <c r="AK197" i="2"/>
  <c r="W197" i="2"/>
  <c r="V197" i="2"/>
  <c r="U197" i="2"/>
  <c r="AU197" i="2" s="1"/>
  <c r="T197" i="2"/>
  <c r="AT197" i="2" s="1"/>
  <c r="S197" i="2"/>
  <c r="AS197" i="2" s="1"/>
  <c r="Q197" i="2"/>
  <c r="AQ197" i="2" s="1"/>
  <c r="P197" i="2"/>
  <c r="AP197" i="2" s="1"/>
  <c r="N197" i="2"/>
  <c r="M197" i="2"/>
  <c r="AN197" i="2" s="1"/>
  <c r="L197" i="2"/>
  <c r="AM197" i="2" s="1"/>
  <c r="K197" i="2"/>
  <c r="J197" i="2"/>
  <c r="F197" i="2"/>
  <c r="BK196" i="2"/>
  <c r="BM196" i="2" s="1"/>
  <c r="BH196" i="2"/>
  <c r="BG196" i="2"/>
  <c r="BF196" i="2"/>
  <c r="BF197" i="2" s="1"/>
  <c r="BE196" i="2"/>
  <c r="BE197" i="2" s="1"/>
  <c r="BD196" i="2"/>
  <c r="BC196" i="2"/>
  <c r="BB196" i="2"/>
  <c r="BA196" i="2"/>
  <c r="AZ196" i="2"/>
  <c r="AY196" i="2"/>
  <c r="AX196" i="2"/>
  <c r="AW196" i="2"/>
  <c r="AV196" i="2"/>
  <c r="AU196" i="2"/>
  <c r="AT196" i="2"/>
  <c r="AS196" i="2"/>
  <c r="AR196" i="2"/>
  <c r="AO196" i="2"/>
  <c r="W196" i="2"/>
  <c r="V196" i="2"/>
  <c r="U196" i="2"/>
  <c r="T196" i="2"/>
  <c r="S196" i="2"/>
  <c r="Q196" i="2"/>
  <c r="AQ196" i="2" s="1"/>
  <c r="P196" i="2"/>
  <c r="AP196" i="2" s="1"/>
  <c r="N196" i="2"/>
  <c r="M196" i="2"/>
  <c r="AN196" i="2" s="1"/>
  <c r="L196" i="2"/>
  <c r="AM196" i="2" s="1"/>
  <c r="K196" i="2"/>
  <c r="AL196" i="2" s="1"/>
  <c r="J196" i="2"/>
  <c r="AK196" i="2" s="1"/>
  <c r="I196" i="2"/>
  <c r="F196" i="2"/>
  <c r="BJ195" i="2"/>
  <c r="BI195" i="2"/>
  <c r="BH195" i="2"/>
  <c r="BG195" i="2"/>
  <c r="BF195" i="2"/>
  <c r="BE195" i="2"/>
  <c r="BD195" i="2"/>
  <c r="BC195" i="2"/>
  <c r="BB195" i="2"/>
  <c r="BA195" i="2"/>
  <c r="AZ195" i="2"/>
  <c r="AY195" i="2"/>
  <c r="AX195" i="2"/>
  <c r="AW195" i="2"/>
  <c r="AV195" i="2"/>
  <c r="AR195" i="2"/>
  <c r="AO195" i="2"/>
  <c r="AM195" i="2"/>
  <c r="AL195" i="2"/>
  <c r="AK195" i="2"/>
  <c r="W195" i="2"/>
  <c r="V195" i="2"/>
  <c r="U195" i="2"/>
  <c r="AU195" i="2" s="1"/>
  <c r="T195" i="2"/>
  <c r="AT195" i="2" s="1"/>
  <c r="S195" i="2"/>
  <c r="AS195" i="2" s="1"/>
  <c r="Q195" i="2"/>
  <c r="AQ195" i="2" s="1"/>
  <c r="P195" i="2"/>
  <c r="AP195" i="2" s="1"/>
  <c r="N195" i="2"/>
  <c r="M195" i="2"/>
  <c r="AN195" i="2" s="1"/>
  <c r="L195" i="2"/>
  <c r="K195" i="2"/>
  <c r="J195" i="2"/>
  <c r="H195" i="2"/>
  <c r="G195" i="2"/>
  <c r="F195" i="2"/>
  <c r="BJ194" i="2"/>
  <c r="BI194" i="2"/>
  <c r="BH194" i="2"/>
  <c r="BG194" i="2"/>
  <c r="BF194" i="2"/>
  <c r="BE194" i="2"/>
  <c r="BD194" i="2"/>
  <c r="BC194" i="2"/>
  <c r="BB194" i="2"/>
  <c r="BA194" i="2"/>
  <c r="AZ194" i="2"/>
  <c r="AU194" i="2"/>
  <c r="AS194" i="2"/>
  <c r="AR194" i="2"/>
  <c r="AQ194" i="2"/>
  <c r="AO194" i="2"/>
  <c r="AM194" i="2"/>
  <c r="AL194" i="2"/>
  <c r="AK194" i="2"/>
  <c r="Y194" i="2"/>
  <c r="AY194" i="2" s="1"/>
  <c r="X194" i="2"/>
  <c r="AX194" i="2" s="1"/>
  <c r="W194" i="2"/>
  <c r="AW194" i="2" s="1"/>
  <c r="V194" i="2"/>
  <c r="AV194" i="2" s="1"/>
  <c r="U194" i="2"/>
  <c r="T194" i="2"/>
  <c r="AT194" i="2" s="1"/>
  <c r="S194" i="2"/>
  <c r="R194" i="2"/>
  <c r="Q194" i="2"/>
  <c r="P194" i="2"/>
  <c r="AP194" i="2" s="1"/>
  <c r="N194" i="2"/>
  <c r="M194" i="2"/>
  <c r="AN194" i="2" s="1"/>
  <c r="L194" i="2"/>
  <c r="K194" i="2"/>
  <c r="J194" i="2"/>
  <c r="I194" i="2"/>
  <c r="F194" i="2"/>
  <c r="AZ193" i="2"/>
  <c r="AX193" i="2"/>
  <c r="AW193" i="2"/>
  <c r="AV193" i="2"/>
  <c r="AR193" i="2"/>
  <c r="AQ193" i="2"/>
  <c r="AP193" i="2"/>
  <c r="AO193" i="2"/>
  <c r="AN193" i="2"/>
  <c r="AM193" i="2"/>
  <c r="W193" i="2"/>
  <c r="V193" i="2"/>
  <c r="U193" i="2"/>
  <c r="T193" i="2"/>
  <c r="S193" i="2"/>
  <c r="Q193" i="2"/>
  <c r="P193" i="2"/>
  <c r="N193" i="2"/>
  <c r="M193" i="2"/>
  <c r="L193" i="2"/>
  <c r="K193" i="2"/>
  <c r="AL193" i="2" s="1"/>
  <c r="J193" i="2"/>
  <c r="AK193" i="2" s="1"/>
  <c r="F193" i="2"/>
  <c r="BJ192" i="2"/>
  <c r="BJ193" i="2" s="1"/>
  <c r="BI192" i="2"/>
  <c r="BI193" i="2" s="1"/>
  <c r="BH192" i="2"/>
  <c r="BH193" i="2" s="1"/>
  <c r="BG192" i="2"/>
  <c r="BG193" i="2" s="1"/>
  <c r="BF192" i="2"/>
  <c r="BF193" i="2" s="1"/>
  <c r="BE192" i="2"/>
  <c r="BE193" i="2" s="1"/>
  <c r="BD192" i="2"/>
  <c r="BD193" i="2" s="1"/>
  <c r="BC192" i="2"/>
  <c r="BC193" i="2" s="1"/>
  <c r="BB192" i="2"/>
  <c r="BB193" i="2" s="1"/>
  <c r="BA192" i="2"/>
  <c r="BA193" i="2" s="1"/>
  <c r="AZ192" i="2"/>
  <c r="AY192" i="2"/>
  <c r="AY193" i="2" s="1"/>
  <c r="AX192" i="2"/>
  <c r="AW192" i="2"/>
  <c r="AV192" i="2"/>
  <c r="AU192" i="2"/>
  <c r="AT192" i="2"/>
  <c r="AS192" i="2"/>
  <c r="AR192" i="2"/>
  <c r="AQ192" i="2"/>
  <c r="AP192" i="2"/>
  <c r="AO192" i="2"/>
  <c r="AN192" i="2"/>
  <c r="W192" i="2"/>
  <c r="V192" i="2"/>
  <c r="U192" i="2"/>
  <c r="T192" i="2"/>
  <c r="S192" i="2"/>
  <c r="Q192" i="2"/>
  <c r="P192" i="2"/>
  <c r="N192" i="2"/>
  <c r="M192" i="2"/>
  <c r="L192" i="2"/>
  <c r="AM192" i="2" s="1"/>
  <c r="K192" i="2"/>
  <c r="AL192" i="2" s="1"/>
  <c r="J192" i="2"/>
  <c r="AK192" i="2" s="1"/>
  <c r="I192" i="2"/>
  <c r="F192" i="2"/>
  <c r="BK191" i="2"/>
  <c r="BO191" i="2" s="1"/>
  <c r="BJ191" i="2"/>
  <c r="BI191" i="2"/>
  <c r="BH191" i="2"/>
  <c r="BG191" i="2"/>
  <c r="BF191" i="2"/>
  <c r="BE191" i="2"/>
  <c r="BD191" i="2"/>
  <c r="BC191" i="2"/>
  <c r="BB191" i="2"/>
  <c r="BA191" i="2"/>
  <c r="AZ191" i="2"/>
  <c r="AY191" i="2"/>
  <c r="AX191" i="2"/>
  <c r="AW191" i="2"/>
  <c r="AV191" i="2"/>
  <c r="AU191" i="2"/>
  <c r="AT191" i="2"/>
  <c r="AS191" i="2"/>
  <c r="AR191" i="2"/>
  <c r="AQ191" i="2"/>
  <c r="AO191" i="2"/>
  <c r="W191" i="2"/>
  <c r="V191" i="2"/>
  <c r="U191" i="2"/>
  <c r="T191" i="2"/>
  <c r="S191" i="2"/>
  <c r="Q191" i="2"/>
  <c r="P191" i="2"/>
  <c r="AP191" i="2" s="1"/>
  <c r="N191" i="2"/>
  <c r="M191" i="2"/>
  <c r="AN191" i="2" s="1"/>
  <c r="L191" i="2"/>
  <c r="AM191" i="2" s="1"/>
  <c r="K191" i="2"/>
  <c r="AL191" i="2" s="1"/>
  <c r="J191" i="2"/>
  <c r="AK191" i="2" s="1"/>
  <c r="H191" i="2"/>
  <c r="G191" i="2"/>
  <c r="F191" i="2"/>
  <c r="BJ190" i="2"/>
  <c r="BK190" i="2" s="1"/>
  <c r="BN190" i="2" s="1"/>
  <c r="BI190" i="2"/>
  <c r="BH190" i="2"/>
  <c r="BG190" i="2"/>
  <c r="BF190" i="2"/>
  <c r="BE190" i="2"/>
  <c r="BD190" i="2"/>
  <c r="BC190" i="2"/>
  <c r="BB190" i="2"/>
  <c r="BA190" i="2"/>
  <c r="AZ190" i="2"/>
  <c r="AY190" i="2"/>
  <c r="AX190" i="2"/>
  <c r="AW190" i="2"/>
  <c r="AV190" i="2"/>
  <c r="AS190" i="2"/>
  <c r="AO190" i="2"/>
  <c r="Y190" i="2"/>
  <c r="X190" i="2"/>
  <c r="W190" i="2"/>
  <c r="V190" i="2"/>
  <c r="U190" i="2"/>
  <c r="AU190" i="2" s="1"/>
  <c r="T190" i="2"/>
  <c r="AT190" i="2" s="1"/>
  <c r="S190" i="2"/>
  <c r="Q190" i="2"/>
  <c r="AQ190" i="2" s="1"/>
  <c r="P190" i="2"/>
  <c r="AP190" i="2" s="1"/>
  <c r="N190" i="2"/>
  <c r="M190" i="2"/>
  <c r="AN190" i="2" s="1"/>
  <c r="L190" i="2"/>
  <c r="AM190" i="2" s="1"/>
  <c r="K190" i="2"/>
  <c r="AL190" i="2" s="1"/>
  <c r="J190" i="2"/>
  <c r="AK190" i="2" s="1"/>
  <c r="I190" i="2"/>
  <c r="F190" i="2"/>
  <c r="BJ189" i="2"/>
  <c r="BK189" i="2" s="1"/>
  <c r="BP189" i="2" s="1"/>
  <c r="BI189" i="2"/>
  <c r="BH189" i="2"/>
  <c r="BD189" i="2"/>
  <c r="BC189" i="2"/>
  <c r="BB189" i="2"/>
  <c r="BA189" i="2"/>
  <c r="AZ189" i="2"/>
  <c r="AY189" i="2"/>
  <c r="AX189" i="2"/>
  <c r="AU189" i="2"/>
  <c r="AT189" i="2"/>
  <c r="AR189" i="2"/>
  <c r="AP189" i="2"/>
  <c r="AO189" i="2"/>
  <c r="AM189" i="2"/>
  <c r="AK189" i="2"/>
  <c r="W189" i="2"/>
  <c r="V189" i="2"/>
  <c r="U189" i="2"/>
  <c r="T189" i="2"/>
  <c r="S189" i="2"/>
  <c r="AS189" i="2" s="1"/>
  <c r="Q189" i="2"/>
  <c r="AQ189" i="2" s="1"/>
  <c r="P189" i="2"/>
  <c r="N189" i="2"/>
  <c r="M189" i="2"/>
  <c r="AN189" i="2" s="1"/>
  <c r="L189" i="2"/>
  <c r="K189" i="2"/>
  <c r="AL189" i="2" s="1"/>
  <c r="J189" i="2"/>
  <c r="F189" i="2"/>
  <c r="BK188" i="2"/>
  <c r="BM188" i="2" s="1"/>
  <c r="BH188" i="2"/>
  <c r="BG188" i="2"/>
  <c r="BG189" i="2" s="1"/>
  <c r="BF188" i="2"/>
  <c r="BF189" i="2" s="1"/>
  <c r="BE188" i="2"/>
  <c r="BE189" i="2" s="1"/>
  <c r="BD188" i="2"/>
  <c r="BC188" i="2"/>
  <c r="BB188" i="2"/>
  <c r="BA188" i="2"/>
  <c r="AZ188" i="2"/>
  <c r="AY188" i="2"/>
  <c r="AX188" i="2"/>
  <c r="AU188" i="2"/>
  <c r="AT188" i="2"/>
  <c r="AS188" i="2"/>
  <c r="AR188" i="2"/>
  <c r="AO188" i="2"/>
  <c r="AN188" i="2"/>
  <c r="AM188" i="2"/>
  <c r="AL188" i="2"/>
  <c r="W188" i="2"/>
  <c r="AW188" i="2" s="1"/>
  <c r="AW189" i="2" s="1"/>
  <c r="V188" i="2"/>
  <c r="AV188" i="2" s="1"/>
  <c r="AV189" i="2" s="1"/>
  <c r="U188" i="2"/>
  <c r="T188" i="2"/>
  <c r="S188" i="2"/>
  <c r="Q188" i="2"/>
  <c r="AQ188" i="2" s="1"/>
  <c r="P188" i="2"/>
  <c r="AP188" i="2" s="1"/>
  <c r="N188" i="2"/>
  <c r="M188" i="2"/>
  <c r="L188" i="2"/>
  <c r="K188" i="2"/>
  <c r="J188" i="2"/>
  <c r="AK188" i="2" s="1"/>
  <c r="I188" i="2"/>
  <c r="F188" i="2"/>
  <c r="BJ187" i="2"/>
  <c r="BK187" i="2" s="1"/>
  <c r="BN187" i="2" s="1"/>
  <c r="BI187" i="2"/>
  <c r="BH187" i="2"/>
  <c r="BG187" i="2"/>
  <c r="BF187" i="2"/>
  <c r="BE187" i="2"/>
  <c r="BD187" i="2"/>
  <c r="BC187" i="2"/>
  <c r="BB187" i="2"/>
  <c r="BA187" i="2"/>
  <c r="AZ187" i="2"/>
  <c r="AV187" i="2"/>
  <c r="AR187" i="2"/>
  <c r="AQ187" i="2"/>
  <c r="AP187" i="2"/>
  <c r="AO187" i="2"/>
  <c r="AN187" i="2"/>
  <c r="AM187" i="2"/>
  <c r="AL187" i="2"/>
  <c r="Y187" i="2"/>
  <c r="AY187" i="2" s="1"/>
  <c r="X187" i="2"/>
  <c r="AX187" i="2" s="1"/>
  <c r="W187" i="2"/>
  <c r="AW187" i="2" s="1"/>
  <c r="V187" i="2"/>
  <c r="U187" i="2"/>
  <c r="AU187" i="2" s="1"/>
  <c r="T187" i="2"/>
  <c r="AT187" i="2" s="1"/>
  <c r="S187" i="2"/>
  <c r="AS187" i="2" s="1"/>
  <c r="Q187" i="2"/>
  <c r="R187" i="2" s="1"/>
  <c r="P187" i="2"/>
  <c r="N187" i="2"/>
  <c r="M187" i="2"/>
  <c r="L187" i="2"/>
  <c r="K187" i="2"/>
  <c r="J187" i="2"/>
  <c r="AK187" i="2" s="1"/>
  <c r="I187" i="2"/>
  <c r="F187" i="2"/>
  <c r="BJ186" i="2"/>
  <c r="BK186" i="2" s="1"/>
  <c r="BP186" i="2" s="1"/>
  <c r="BI186" i="2"/>
  <c r="BH186" i="2"/>
  <c r="BG186" i="2"/>
  <c r="AR186" i="2"/>
  <c r="AQ186" i="2"/>
  <c r="AP186" i="2"/>
  <c r="AO186" i="2"/>
  <c r="AN186" i="2"/>
  <c r="AM186" i="2"/>
  <c r="AK186" i="2"/>
  <c r="W186" i="2"/>
  <c r="AW186" i="2" s="1"/>
  <c r="V186" i="2"/>
  <c r="AV186" i="2" s="1"/>
  <c r="U186" i="2"/>
  <c r="T186" i="2"/>
  <c r="S186" i="2"/>
  <c r="Q186" i="2"/>
  <c r="P186" i="2"/>
  <c r="N186" i="2"/>
  <c r="M186" i="2"/>
  <c r="L186" i="2"/>
  <c r="K186" i="2"/>
  <c r="AL186" i="2" s="1"/>
  <c r="J186" i="2"/>
  <c r="F186" i="2"/>
  <c r="BK185" i="2"/>
  <c r="BM185" i="2" s="1"/>
  <c r="BH185" i="2"/>
  <c r="BG185" i="2"/>
  <c r="BF185" i="2"/>
  <c r="BF186" i="2" s="1"/>
  <c r="BE185" i="2"/>
  <c r="BE186" i="2" s="1"/>
  <c r="BD185" i="2"/>
  <c r="BD186" i="2" s="1"/>
  <c r="BC185" i="2"/>
  <c r="BC186" i="2" s="1"/>
  <c r="BB185" i="2"/>
  <c r="BB186" i="2" s="1"/>
  <c r="BA185" i="2"/>
  <c r="BA186" i="2" s="1"/>
  <c r="AZ185" i="2"/>
  <c r="AZ186" i="2" s="1"/>
  <c r="AY185" i="2"/>
  <c r="AY186" i="2" s="1"/>
  <c r="AX185" i="2"/>
  <c r="AX186" i="2" s="1"/>
  <c r="AR185" i="2"/>
  <c r="AQ185" i="2"/>
  <c r="AO185" i="2"/>
  <c r="AN185" i="2"/>
  <c r="AM185" i="2"/>
  <c r="AL185" i="2"/>
  <c r="AK185" i="2"/>
  <c r="W185" i="2"/>
  <c r="AW185" i="2" s="1"/>
  <c r="V185" i="2"/>
  <c r="AV185" i="2" s="1"/>
  <c r="U185" i="2"/>
  <c r="AU185" i="2" s="1"/>
  <c r="T185" i="2"/>
  <c r="AT185" i="2" s="1"/>
  <c r="S185" i="2"/>
  <c r="AS185" i="2" s="1"/>
  <c r="Q185" i="2"/>
  <c r="P185" i="2"/>
  <c r="AP185" i="2" s="1"/>
  <c r="N185" i="2"/>
  <c r="M185" i="2"/>
  <c r="L185" i="2"/>
  <c r="K185" i="2"/>
  <c r="J185" i="2"/>
  <c r="I185" i="2"/>
  <c r="F185" i="2"/>
  <c r="BJ184" i="2"/>
  <c r="BK184" i="2" s="1"/>
  <c r="BO184" i="2" s="1"/>
  <c r="BI184" i="2"/>
  <c r="BH184" i="2"/>
  <c r="BG184" i="2"/>
  <c r="BF184" i="2"/>
  <c r="BE184" i="2"/>
  <c r="BD184" i="2"/>
  <c r="BC184" i="2"/>
  <c r="BB184" i="2"/>
  <c r="BA184" i="2"/>
  <c r="AZ184" i="2"/>
  <c r="AY184" i="2"/>
  <c r="AX184" i="2"/>
  <c r="AS184" i="2"/>
  <c r="AR184" i="2"/>
  <c r="AQ184" i="2"/>
  <c r="AP184" i="2"/>
  <c r="AO184" i="2"/>
  <c r="AN184" i="2"/>
  <c r="AM184" i="2"/>
  <c r="AL184" i="2"/>
  <c r="W184" i="2"/>
  <c r="AW184" i="2" s="1"/>
  <c r="V184" i="2"/>
  <c r="AV184" i="2" s="1"/>
  <c r="U184" i="2"/>
  <c r="AU184" i="2" s="1"/>
  <c r="T184" i="2"/>
  <c r="AT184" i="2" s="1"/>
  <c r="S184" i="2"/>
  <c r="Q184" i="2"/>
  <c r="P184" i="2"/>
  <c r="N184" i="2"/>
  <c r="M184" i="2"/>
  <c r="L184" i="2"/>
  <c r="K184" i="2"/>
  <c r="J184" i="2"/>
  <c r="AK184" i="2" s="1"/>
  <c r="H184" i="2"/>
  <c r="G184" i="2"/>
  <c r="F184" i="2"/>
  <c r="BJ183" i="2"/>
  <c r="BK183" i="2" s="1"/>
  <c r="BN183" i="2" s="1"/>
  <c r="BI183" i="2"/>
  <c r="BH183" i="2"/>
  <c r="BG183" i="2"/>
  <c r="BF183" i="2"/>
  <c r="BE183" i="2"/>
  <c r="BD183" i="2"/>
  <c r="BC183" i="2"/>
  <c r="BB183" i="2"/>
  <c r="BA183" i="2"/>
  <c r="AZ183" i="2"/>
  <c r="AW183" i="2"/>
  <c r="AV183" i="2"/>
  <c r="AU183" i="2"/>
  <c r="AT183" i="2"/>
  <c r="AS183" i="2"/>
  <c r="AR183" i="2"/>
  <c r="AQ183" i="2"/>
  <c r="AP183" i="2"/>
  <c r="AO183" i="2"/>
  <c r="Y183" i="2"/>
  <c r="AY183" i="2" s="1"/>
  <c r="X183" i="2"/>
  <c r="AX183" i="2" s="1"/>
  <c r="W183" i="2"/>
  <c r="V183" i="2"/>
  <c r="U183" i="2"/>
  <c r="T183" i="2"/>
  <c r="S183" i="2"/>
  <c r="Q183" i="2"/>
  <c r="R183" i="2" s="1"/>
  <c r="P183" i="2"/>
  <c r="N183" i="2"/>
  <c r="M183" i="2"/>
  <c r="AN183" i="2" s="1"/>
  <c r="L183" i="2"/>
  <c r="AM183" i="2" s="1"/>
  <c r="K183" i="2"/>
  <c r="AL183" i="2" s="1"/>
  <c r="J183" i="2"/>
  <c r="AK183" i="2" s="1"/>
  <c r="I183" i="2"/>
  <c r="F183" i="2"/>
  <c r="BP182" i="2"/>
  <c r="BK182" i="2"/>
  <c r="BJ182" i="2"/>
  <c r="BI182" i="2"/>
  <c r="BD182" i="2"/>
  <c r="AY182" i="2"/>
  <c r="AX182" i="2"/>
  <c r="AS182" i="2"/>
  <c r="AR182" i="2"/>
  <c r="AQ182" i="2"/>
  <c r="AP182" i="2"/>
  <c r="AO182" i="2"/>
  <c r="AN182" i="2"/>
  <c r="W182" i="2"/>
  <c r="AW182" i="2" s="1"/>
  <c r="V182" i="2"/>
  <c r="AV182" i="2" s="1"/>
  <c r="U182" i="2"/>
  <c r="AU182" i="2" s="1"/>
  <c r="T182" i="2"/>
  <c r="AT182" i="2" s="1"/>
  <c r="S182" i="2"/>
  <c r="Q182" i="2"/>
  <c r="P182" i="2"/>
  <c r="N182" i="2"/>
  <c r="M182" i="2"/>
  <c r="L182" i="2"/>
  <c r="AM182" i="2" s="1"/>
  <c r="K182" i="2"/>
  <c r="AL182" i="2" s="1"/>
  <c r="J182" i="2"/>
  <c r="AK182" i="2" s="1"/>
  <c r="F182" i="2"/>
  <c r="BK181" i="2"/>
  <c r="BH181" i="2"/>
  <c r="BH182" i="2" s="1"/>
  <c r="BG181" i="2"/>
  <c r="BG182" i="2" s="1"/>
  <c r="BF181" i="2"/>
  <c r="BF182" i="2" s="1"/>
  <c r="BE181" i="2"/>
  <c r="BE182" i="2" s="1"/>
  <c r="BD181" i="2"/>
  <c r="BC181" i="2"/>
  <c r="BC182" i="2" s="1"/>
  <c r="BB181" i="2"/>
  <c r="BB182" i="2" s="1"/>
  <c r="BA181" i="2"/>
  <c r="BA182" i="2" s="1"/>
  <c r="AZ181" i="2"/>
  <c r="AZ182" i="2" s="1"/>
  <c r="AY181" i="2"/>
  <c r="AX181" i="2"/>
  <c r="AW181" i="2"/>
  <c r="AR181" i="2"/>
  <c r="AO181" i="2"/>
  <c r="AN181" i="2"/>
  <c r="AM181" i="2"/>
  <c r="W181" i="2"/>
  <c r="V181" i="2"/>
  <c r="AV181" i="2" s="1"/>
  <c r="U181" i="2"/>
  <c r="AU181" i="2" s="1"/>
  <c r="T181" i="2"/>
  <c r="AT181" i="2" s="1"/>
  <c r="S181" i="2"/>
  <c r="AS181" i="2" s="1"/>
  <c r="Q181" i="2"/>
  <c r="AQ181" i="2" s="1"/>
  <c r="P181" i="2"/>
  <c r="AP181" i="2" s="1"/>
  <c r="N181" i="2"/>
  <c r="M181" i="2"/>
  <c r="L181" i="2"/>
  <c r="K181" i="2"/>
  <c r="AL181" i="2" s="1"/>
  <c r="J181" i="2"/>
  <c r="AK181" i="2" s="1"/>
  <c r="I181" i="2"/>
  <c r="F181" i="2"/>
  <c r="BJ180" i="2"/>
  <c r="BK180" i="2" s="1"/>
  <c r="BO180" i="2" s="1"/>
  <c r="BI180" i="2"/>
  <c r="BH180" i="2"/>
  <c r="BG180" i="2"/>
  <c r="BF180" i="2"/>
  <c r="BE180" i="2"/>
  <c r="BD180" i="2"/>
  <c r="BC180" i="2"/>
  <c r="BB180" i="2"/>
  <c r="BA180" i="2"/>
  <c r="AZ180" i="2"/>
  <c r="AY180" i="2"/>
  <c r="AX180" i="2"/>
  <c r="AR180" i="2"/>
  <c r="AP180" i="2"/>
  <c r="AO180" i="2"/>
  <c r="AL180" i="2"/>
  <c r="AK180" i="2"/>
  <c r="W180" i="2"/>
  <c r="AW180" i="2" s="1"/>
  <c r="V180" i="2"/>
  <c r="AV180" i="2" s="1"/>
  <c r="U180" i="2"/>
  <c r="AU180" i="2" s="1"/>
  <c r="T180" i="2"/>
  <c r="AT180" i="2" s="1"/>
  <c r="S180" i="2"/>
  <c r="AS180" i="2" s="1"/>
  <c r="Q180" i="2"/>
  <c r="AQ180" i="2" s="1"/>
  <c r="P180" i="2"/>
  <c r="N180" i="2"/>
  <c r="M180" i="2"/>
  <c r="AN180" i="2" s="1"/>
  <c r="L180" i="2"/>
  <c r="AM180" i="2" s="1"/>
  <c r="K180" i="2"/>
  <c r="J180" i="2"/>
  <c r="H180" i="2"/>
  <c r="G180" i="2"/>
  <c r="F180" i="2"/>
  <c r="BJ179" i="2"/>
  <c r="BI179" i="2"/>
  <c r="BH179" i="2"/>
  <c r="BG179" i="2"/>
  <c r="BF179" i="2"/>
  <c r="BE179" i="2"/>
  <c r="BD179" i="2"/>
  <c r="BC179" i="2"/>
  <c r="BB179" i="2"/>
  <c r="BA179" i="2"/>
  <c r="AZ179" i="2"/>
  <c r="AO179" i="2"/>
  <c r="AN179" i="2"/>
  <c r="AM179" i="2"/>
  <c r="AL179" i="2"/>
  <c r="AK179" i="2"/>
  <c r="Y179" i="2"/>
  <c r="AY179" i="2" s="1"/>
  <c r="X179" i="2"/>
  <c r="AX179" i="2" s="1"/>
  <c r="W179" i="2"/>
  <c r="AW179" i="2" s="1"/>
  <c r="V179" i="2"/>
  <c r="AV179" i="2" s="1"/>
  <c r="U179" i="2"/>
  <c r="AU179" i="2" s="1"/>
  <c r="T179" i="2"/>
  <c r="AT179" i="2" s="1"/>
  <c r="S179" i="2"/>
  <c r="AS179" i="2" s="1"/>
  <c r="R179" i="2"/>
  <c r="AR179" i="2" s="1"/>
  <c r="Q179" i="2"/>
  <c r="AQ179" i="2" s="1"/>
  <c r="P179" i="2"/>
  <c r="AP179" i="2" s="1"/>
  <c r="N179" i="2"/>
  <c r="M179" i="2"/>
  <c r="L179" i="2"/>
  <c r="K179" i="2"/>
  <c r="J179" i="2"/>
  <c r="I179" i="2"/>
  <c r="F179" i="2"/>
  <c r="BE178" i="2"/>
  <c r="BD178" i="2"/>
  <c r="BC178" i="2"/>
  <c r="BB178" i="2"/>
  <c r="AR178" i="2"/>
  <c r="AQ178" i="2"/>
  <c r="AP178" i="2"/>
  <c r="AO178" i="2"/>
  <c r="AN178" i="2"/>
  <c r="AM178" i="2"/>
  <c r="AL178" i="2"/>
  <c r="AK178" i="2"/>
  <c r="W178" i="2"/>
  <c r="V178" i="2"/>
  <c r="U178" i="2"/>
  <c r="T178" i="2"/>
  <c r="S178" i="2"/>
  <c r="Q178" i="2"/>
  <c r="P178" i="2"/>
  <c r="N178" i="2"/>
  <c r="M178" i="2"/>
  <c r="L178" i="2"/>
  <c r="K178" i="2"/>
  <c r="J178" i="2"/>
  <c r="F178" i="2"/>
  <c r="BJ177" i="2"/>
  <c r="BJ178" i="2" s="1"/>
  <c r="BI177" i="2"/>
  <c r="BI178" i="2" s="1"/>
  <c r="BH177" i="2"/>
  <c r="BH178" i="2" s="1"/>
  <c r="BG177" i="2"/>
  <c r="BG178" i="2" s="1"/>
  <c r="BF177" i="2"/>
  <c r="BF178" i="2" s="1"/>
  <c r="BE177" i="2"/>
  <c r="BD177" i="2"/>
  <c r="BC177" i="2"/>
  <c r="BB177" i="2"/>
  <c r="BA177" i="2"/>
  <c r="BA178" i="2" s="1"/>
  <c r="AZ177" i="2"/>
  <c r="AZ178" i="2" s="1"/>
  <c r="AY177" i="2"/>
  <c r="AY178" i="2" s="1"/>
  <c r="AX177" i="2"/>
  <c r="AX178" i="2" s="1"/>
  <c r="AR177" i="2"/>
  <c r="AO177" i="2"/>
  <c r="AN177" i="2"/>
  <c r="AM177" i="2"/>
  <c r="AL177" i="2"/>
  <c r="AK177" i="2"/>
  <c r="W177" i="2"/>
  <c r="AW177" i="2" s="1"/>
  <c r="V177" i="2"/>
  <c r="AV177" i="2" s="1"/>
  <c r="U177" i="2"/>
  <c r="AU177" i="2" s="1"/>
  <c r="T177" i="2"/>
  <c r="AT177" i="2" s="1"/>
  <c r="S177" i="2"/>
  <c r="AS177" i="2" s="1"/>
  <c r="Q177" i="2"/>
  <c r="AQ177" i="2" s="1"/>
  <c r="P177" i="2"/>
  <c r="AP177" i="2" s="1"/>
  <c r="N177" i="2"/>
  <c r="M177" i="2"/>
  <c r="L177" i="2"/>
  <c r="K177" i="2"/>
  <c r="J177" i="2"/>
  <c r="I177" i="2"/>
  <c r="F177" i="2"/>
  <c r="BJ176" i="2"/>
  <c r="BK176" i="2" s="1"/>
  <c r="BO176" i="2" s="1"/>
  <c r="BI176" i="2"/>
  <c r="BH176" i="2"/>
  <c r="BG176" i="2"/>
  <c r="BF176" i="2"/>
  <c r="BE176" i="2"/>
  <c r="BD176" i="2"/>
  <c r="BC176" i="2"/>
  <c r="BB176" i="2"/>
  <c r="BA176" i="2"/>
  <c r="AZ176" i="2"/>
  <c r="AY176" i="2"/>
  <c r="AX176" i="2"/>
  <c r="AR176" i="2"/>
  <c r="AP176" i="2"/>
  <c r="AO176" i="2"/>
  <c r="AN176" i="2"/>
  <c r="AM176" i="2"/>
  <c r="AL176" i="2"/>
  <c r="AK176" i="2"/>
  <c r="W176" i="2"/>
  <c r="AW176" i="2" s="1"/>
  <c r="V176" i="2"/>
  <c r="AV176" i="2" s="1"/>
  <c r="U176" i="2"/>
  <c r="AU176" i="2" s="1"/>
  <c r="T176" i="2"/>
  <c r="AT176" i="2" s="1"/>
  <c r="S176" i="2"/>
  <c r="AS176" i="2" s="1"/>
  <c r="Q176" i="2"/>
  <c r="AQ176" i="2" s="1"/>
  <c r="P176" i="2"/>
  <c r="N176" i="2"/>
  <c r="M176" i="2"/>
  <c r="L176" i="2"/>
  <c r="K176" i="2"/>
  <c r="J176" i="2"/>
  <c r="H176" i="2"/>
  <c r="G176" i="2"/>
  <c r="F176" i="2"/>
  <c r="BJ175" i="2"/>
  <c r="BI175" i="2"/>
  <c r="BH175" i="2"/>
  <c r="BG175" i="2"/>
  <c r="BF175" i="2"/>
  <c r="BE175" i="2"/>
  <c r="BD175" i="2"/>
  <c r="BC175" i="2"/>
  <c r="BB175" i="2"/>
  <c r="BA175" i="2"/>
  <c r="AZ175" i="2"/>
  <c r="AX175" i="2"/>
  <c r="AU175" i="2"/>
  <c r="AT175" i="2"/>
  <c r="AQ175" i="2"/>
  <c r="AP175" i="2"/>
  <c r="AO175" i="2"/>
  <c r="AN175" i="2"/>
  <c r="AL175" i="2"/>
  <c r="AK175" i="2"/>
  <c r="Y175" i="2"/>
  <c r="AY175" i="2" s="1"/>
  <c r="X175" i="2"/>
  <c r="W175" i="2"/>
  <c r="AW175" i="2" s="1"/>
  <c r="V175" i="2"/>
  <c r="AV175" i="2" s="1"/>
  <c r="U175" i="2"/>
  <c r="T175" i="2"/>
  <c r="S175" i="2"/>
  <c r="AS175" i="2" s="1"/>
  <c r="Q175" i="2"/>
  <c r="R175" i="2" s="1"/>
  <c r="AR175" i="2" s="1"/>
  <c r="P175" i="2"/>
  <c r="N175" i="2"/>
  <c r="M175" i="2"/>
  <c r="L175" i="2"/>
  <c r="AM175" i="2" s="1"/>
  <c r="K175" i="2"/>
  <c r="J175" i="2"/>
  <c r="I175" i="2"/>
  <c r="F175" i="2"/>
  <c r="BI174" i="2"/>
  <c r="BH174" i="2"/>
  <c r="BG174" i="2"/>
  <c r="BF174" i="2"/>
  <c r="BC174" i="2"/>
  <c r="BB174" i="2"/>
  <c r="BA174" i="2"/>
  <c r="AU174" i="2"/>
  <c r="AT174" i="2"/>
  <c r="AS174" i="2"/>
  <c r="AR174" i="2"/>
  <c r="AQ174" i="2"/>
  <c r="AP174" i="2"/>
  <c r="AO174" i="2"/>
  <c r="AN174" i="2"/>
  <c r="AM174" i="2"/>
  <c r="W174" i="2"/>
  <c r="V174" i="2"/>
  <c r="AV174" i="2" s="1"/>
  <c r="U174" i="2"/>
  <c r="T174" i="2"/>
  <c r="S174" i="2"/>
  <c r="Q174" i="2"/>
  <c r="P174" i="2"/>
  <c r="N174" i="2"/>
  <c r="M174" i="2"/>
  <c r="L174" i="2"/>
  <c r="K174" i="2"/>
  <c r="AL174" i="2" s="1"/>
  <c r="J174" i="2"/>
  <c r="AK174" i="2" s="1"/>
  <c r="F174" i="2"/>
  <c r="BJ173" i="2"/>
  <c r="BJ174" i="2" s="1"/>
  <c r="BK174" i="2" s="1"/>
  <c r="BP174" i="2" s="1"/>
  <c r="BI173" i="2"/>
  <c r="BH173" i="2"/>
  <c r="BG173" i="2"/>
  <c r="BF173" i="2"/>
  <c r="BE173" i="2"/>
  <c r="BE174" i="2" s="1"/>
  <c r="BD173" i="2"/>
  <c r="BD174" i="2" s="1"/>
  <c r="BC173" i="2"/>
  <c r="BB173" i="2"/>
  <c r="BA173" i="2"/>
  <c r="AZ173" i="2"/>
  <c r="AZ174" i="2" s="1"/>
  <c r="AY173" i="2"/>
  <c r="AY174" i="2" s="1"/>
  <c r="AX173" i="2"/>
  <c r="AX174" i="2" s="1"/>
  <c r="AU173" i="2"/>
  <c r="AT173" i="2"/>
  <c r="AS173" i="2"/>
  <c r="AR173" i="2"/>
  <c r="AQ173" i="2"/>
  <c r="AP173" i="2"/>
  <c r="AO173" i="2"/>
  <c r="AN173" i="2"/>
  <c r="AM173" i="2"/>
  <c r="W173" i="2"/>
  <c r="AW173" i="2" s="1"/>
  <c r="AW174" i="2" s="1"/>
  <c r="V173" i="2"/>
  <c r="AV173" i="2" s="1"/>
  <c r="U173" i="2"/>
  <c r="T173" i="2"/>
  <c r="S173" i="2"/>
  <c r="Q173" i="2"/>
  <c r="P173" i="2"/>
  <c r="N173" i="2"/>
  <c r="M173" i="2"/>
  <c r="L173" i="2"/>
  <c r="K173" i="2"/>
  <c r="AL173" i="2" s="1"/>
  <c r="J173" i="2"/>
  <c r="AK173" i="2" s="1"/>
  <c r="I173" i="2"/>
  <c r="F173" i="2"/>
  <c r="BJ172" i="2"/>
  <c r="BK172" i="2" s="1"/>
  <c r="BO172" i="2" s="1"/>
  <c r="BI172" i="2"/>
  <c r="BH172" i="2"/>
  <c r="BG172" i="2"/>
  <c r="BF172" i="2"/>
  <c r="BE172" i="2"/>
  <c r="BD172" i="2"/>
  <c r="BC172" i="2"/>
  <c r="BB172" i="2"/>
  <c r="BA172" i="2"/>
  <c r="AZ172" i="2"/>
  <c r="AY172" i="2"/>
  <c r="AX172" i="2"/>
  <c r="AV172" i="2"/>
  <c r="AU172" i="2"/>
  <c r="AT172" i="2"/>
  <c r="AS172" i="2"/>
  <c r="AR172" i="2"/>
  <c r="AQ172" i="2"/>
  <c r="AP172" i="2"/>
  <c r="AO172" i="2"/>
  <c r="AN172" i="2"/>
  <c r="W172" i="2"/>
  <c r="AW172" i="2" s="1"/>
  <c r="V172" i="2"/>
  <c r="U172" i="2"/>
  <c r="T172" i="2"/>
  <c r="S172" i="2"/>
  <c r="Q172" i="2"/>
  <c r="P172" i="2"/>
  <c r="N172" i="2"/>
  <c r="M172" i="2"/>
  <c r="L172" i="2"/>
  <c r="AM172" i="2" s="1"/>
  <c r="K172" i="2"/>
  <c r="AL172" i="2" s="1"/>
  <c r="J172" i="2"/>
  <c r="AK172" i="2" s="1"/>
  <c r="H172" i="2"/>
  <c r="G172" i="2"/>
  <c r="F172" i="2"/>
  <c r="BK171" i="2"/>
  <c r="BN171" i="2" s="1"/>
  <c r="BJ171" i="2"/>
  <c r="BI171" i="2"/>
  <c r="BH171" i="2"/>
  <c r="BG171" i="2"/>
  <c r="BF171" i="2"/>
  <c r="BE171" i="2"/>
  <c r="BD171" i="2"/>
  <c r="BC171" i="2"/>
  <c r="BB171" i="2"/>
  <c r="BA171" i="2"/>
  <c r="AZ171" i="2"/>
  <c r="AY171" i="2"/>
  <c r="AX171" i="2"/>
  <c r="AW171" i="2"/>
  <c r="AV171" i="2"/>
  <c r="AU171" i="2"/>
  <c r="AS171" i="2"/>
  <c r="AQ171" i="2"/>
  <c r="AO171" i="2"/>
  <c r="AK171" i="2"/>
  <c r="Y171" i="2"/>
  <c r="X171" i="2"/>
  <c r="W171" i="2"/>
  <c r="V171" i="2"/>
  <c r="U171" i="2"/>
  <c r="T171" i="2"/>
  <c r="AT171" i="2" s="1"/>
  <c r="S171" i="2"/>
  <c r="Q171" i="2"/>
  <c r="R171" i="2" s="1"/>
  <c r="AR171" i="2" s="1"/>
  <c r="P171" i="2"/>
  <c r="AP171" i="2" s="1"/>
  <c r="N171" i="2"/>
  <c r="M171" i="2"/>
  <c r="AN171" i="2" s="1"/>
  <c r="L171" i="2"/>
  <c r="AM171" i="2" s="1"/>
  <c r="K171" i="2"/>
  <c r="AL171" i="2" s="1"/>
  <c r="J171" i="2"/>
  <c r="I171" i="2"/>
  <c r="F171" i="2"/>
  <c r="BJ170" i="2"/>
  <c r="BK170" i="2" s="1"/>
  <c r="BP170" i="2" s="1"/>
  <c r="BD170" i="2"/>
  <c r="BC170" i="2"/>
  <c r="BB170" i="2"/>
  <c r="BA170" i="2"/>
  <c r="AZ170" i="2"/>
  <c r="AY170" i="2"/>
  <c r="AX170" i="2"/>
  <c r="AW170" i="2"/>
  <c r="AU170" i="2"/>
  <c r="AT170" i="2"/>
  <c r="AS170" i="2"/>
  <c r="AR170" i="2"/>
  <c r="AO170" i="2"/>
  <c r="W170" i="2"/>
  <c r="V170" i="2"/>
  <c r="U170" i="2"/>
  <c r="T170" i="2"/>
  <c r="S170" i="2"/>
  <c r="Q170" i="2"/>
  <c r="AQ170" i="2" s="1"/>
  <c r="P170" i="2"/>
  <c r="AP170" i="2" s="1"/>
  <c r="N170" i="2"/>
  <c r="M170" i="2"/>
  <c r="AN170" i="2" s="1"/>
  <c r="L170" i="2"/>
  <c r="AM170" i="2" s="1"/>
  <c r="K170" i="2"/>
  <c r="AL170" i="2" s="1"/>
  <c r="J170" i="2"/>
  <c r="AK170" i="2" s="1"/>
  <c r="F170" i="2"/>
  <c r="BK169" i="2"/>
  <c r="BM169" i="2" s="1"/>
  <c r="BJ169" i="2"/>
  <c r="BI169" i="2"/>
  <c r="BI170" i="2" s="1"/>
  <c r="BH169" i="2"/>
  <c r="BH170" i="2" s="1"/>
  <c r="BG169" i="2"/>
  <c r="BG170" i="2" s="1"/>
  <c r="BF169" i="2"/>
  <c r="BF170" i="2" s="1"/>
  <c r="BE169" i="2"/>
  <c r="BE170" i="2" s="1"/>
  <c r="BD169" i="2"/>
  <c r="BC169" i="2"/>
  <c r="BB169" i="2"/>
  <c r="BA169" i="2"/>
  <c r="AZ169" i="2"/>
  <c r="AY169" i="2"/>
  <c r="AX169" i="2"/>
  <c r="AW169" i="2"/>
  <c r="AV169" i="2"/>
  <c r="AV170" i="2" s="1"/>
  <c r="AU169" i="2"/>
  <c r="AT169" i="2"/>
  <c r="AS169" i="2"/>
  <c r="AR169" i="2"/>
  <c r="AQ169" i="2"/>
  <c r="AO169" i="2"/>
  <c r="W169" i="2"/>
  <c r="V169" i="2"/>
  <c r="U169" i="2"/>
  <c r="T169" i="2"/>
  <c r="S169" i="2"/>
  <c r="Q169" i="2"/>
  <c r="P169" i="2"/>
  <c r="AP169" i="2" s="1"/>
  <c r="N169" i="2"/>
  <c r="M169" i="2"/>
  <c r="AN169" i="2" s="1"/>
  <c r="L169" i="2"/>
  <c r="AM169" i="2" s="1"/>
  <c r="K169" i="2"/>
  <c r="AL169" i="2" s="1"/>
  <c r="J169" i="2"/>
  <c r="AK169" i="2" s="1"/>
  <c r="I169" i="2"/>
  <c r="F169" i="2"/>
  <c r="BJ168" i="2"/>
  <c r="BK168" i="2" s="1"/>
  <c r="BO168" i="2" s="1"/>
  <c r="BI168" i="2"/>
  <c r="BH168" i="2"/>
  <c r="BG168" i="2"/>
  <c r="BF168" i="2"/>
  <c r="BE168" i="2"/>
  <c r="BD168" i="2"/>
  <c r="BC168" i="2"/>
  <c r="BB168" i="2"/>
  <c r="BA168" i="2"/>
  <c r="AZ168" i="2"/>
  <c r="AY168" i="2"/>
  <c r="AX168" i="2"/>
  <c r="AV168" i="2"/>
  <c r="AU168" i="2"/>
  <c r="AT168" i="2"/>
  <c r="AR168" i="2"/>
  <c r="AO168" i="2"/>
  <c r="AN168" i="2"/>
  <c r="AM168" i="2"/>
  <c r="AL168" i="2"/>
  <c r="AK168" i="2"/>
  <c r="W168" i="2"/>
  <c r="AW168" i="2" s="1"/>
  <c r="V168" i="2"/>
  <c r="U168" i="2"/>
  <c r="T168" i="2"/>
  <c r="S168" i="2"/>
  <c r="AS168" i="2" s="1"/>
  <c r="Q168" i="2"/>
  <c r="AQ168" i="2" s="1"/>
  <c r="P168" i="2"/>
  <c r="AP168" i="2" s="1"/>
  <c r="N168" i="2"/>
  <c r="M168" i="2"/>
  <c r="L168" i="2"/>
  <c r="K168" i="2"/>
  <c r="J168" i="2"/>
  <c r="H168" i="2"/>
  <c r="G168" i="2"/>
  <c r="F168" i="2"/>
  <c r="BJ167" i="2"/>
  <c r="BK167" i="2" s="1"/>
  <c r="BN167" i="2" s="1"/>
  <c r="BI167" i="2"/>
  <c r="BH167" i="2"/>
  <c r="BG167" i="2"/>
  <c r="BF167" i="2"/>
  <c r="BE167" i="2"/>
  <c r="BD167" i="2"/>
  <c r="BC167" i="2"/>
  <c r="BB167" i="2"/>
  <c r="BA167" i="2"/>
  <c r="AZ167" i="2"/>
  <c r="AQ167" i="2"/>
  <c r="AP167" i="2"/>
  <c r="AO167" i="2"/>
  <c r="AN167" i="2"/>
  <c r="AM167" i="2"/>
  <c r="AL167" i="2"/>
  <c r="AK167" i="2"/>
  <c r="Y167" i="2"/>
  <c r="AY167" i="2" s="1"/>
  <c r="X167" i="2"/>
  <c r="AX167" i="2" s="1"/>
  <c r="W167" i="2"/>
  <c r="AW167" i="2" s="1"/>
  <c r="V167" i="2"/>
  <c r="AV167" i="2" s="1"/>
  <c r="U167" i="2"/>
  <c r="AU167" i="2" s="1"/>
  <c r="T167" i="2"/>
  <c r="AT167" i="2" s="1"/>
  <c r="S167" i="2"/>
  <c r="AS167" i="2" s="1"/>
  <c r="R167" i="2"/>
  <c r="AR167" i="2" s="1"/>
  <c r="Q167" i="2"/>
  <c r="P167" i="2"/>
  <c r="N167" i="2"/>
  <c r="M167" i="2"/>
  <c r="L167" i="2"/>
  <c r="K167" i="2"/>
  <c r="J167" i="2"/>
  <c r="I167" i="2"/>
  <c r="F167" i="2"/>
  <c r="BJ166" i="2"/>
  <c r="BK166" i="2" s="1"/>
  <c r="BP166" i="2" s="1"/>
  <c r="BI166" i="2"/>
  <c r="BH166" i="2"/>
  <c r="BG166" i="2"/>
  <c r="BF166" i="2"/>
  <c r="BE166" i="2"/>
  <c r="BD166" i="2"/>
  <c r="AZ166" i="2"/>
  <c r="AX166" i="2"/>
  <c r="AT166" i="2"/>
  <c r="AS166" i="2"/>
  <c r="AR166" i="2"/>
  <c r="AQ166" i="2"/>
  <c r="AP166" i="2"/>
  <c r="AO166" i="2"/>
  <c r="AN166" i="2"/>
  <c r="AM166" i="2"/>
  <c r="AL166" i="2"/>
  <c r="AK166" i="2"/>
  <c r="W166" i="2"/>
  <c r="AW166" i="2" s="1"/>
  <c r="V166" i="2"/>
  <c r="AV166" i="2" s="1"/>
  <c r="U166" i="2"/>
  <c r="AU166" i="2" s="1"/>
  <c r="T166" i="2"/>
  <c r="S166" i="2"/>
  <c r="Q166" i="2"/>
  <c r="P166" i="2"/>
  <c r="N166" i="2"/>
  <c r="M166" i="2"/>
  <c r="L166" i="2"/>
  <c r="K166" i="2"/>
  <c r="J166" i="2"/>
  <c r="F166" i="2"/>
  <c r="BK165" i="2"/>
  <c r="BM165" i="2" s="1"/>
  <c r="BH165" i="2"/>
  <c r="BG165" i="2"/>
  <c r="BF165" i="2"/>
  <c r="BE165" i="2"/>
  <c r="BD165" i="2"/>
  <c r="BC165" i="2"/>
  <c r="BC166" i="2" s="1"/>
  <c r="BB165" i="2"/>
  <c r="BB166" i="2" s="1"/>
  <c r="BA165" i="2"/>
  <c r="BA166" i="2" s="1"/>
  <c r="AZ165" i="2"/>
  <c r="AY165" i="2"/>
  <c r="AY166" i="2" s="1"/>
  <c r="AX165" i="2"/>
  <c r="AS165" i="2"/>
  <c r="AR165" i="2"/>
  <c r="AQ165" i="2"/>
  <c r="AP165" i="2"/>
  <c r="AO165" i="2"/>
  <c r="AN165" i="2"/>
  <c r="AM165" i="2"/>
  <c r="AL165" i="2"/>
  <c r="AK165" i="2"/>
  <c r="W165" i="2"/>
  <c r="AW165" i="2" s="1"/>
  <c r="V165" i="2"/>
  <c r="AV165" i="2" s="1"/>
  <c r="U165" i="2"/>
  <c r="AU165" i="2" s="1"/>
  <c r="T165" i="2"/>
  <c r="AT165" i="2" s="1"/>
  <c r="S165" i="2"/>
  <c r="Q165" i="2"/>
  <c r="P165" i="2"/>
  <c r="N165" i="2"/>
  <c r="M165" i="2"/>
  <c r="L165" i="2"/>
  <c r="K165" i="2"/>
  <c r="J165" i="2"/>
  <c r="I165" i="2"/>
  <c r="F165" i="2"/>
  <c r="BJ164" i="2"/>
  <c r="BK164" i="2" s="1"/>
  <c r="BO164" i="2" s="1"/>
  <c r="BI164" i="2"/>
  <c r="BH164" i="2"/>
  <c r="BG164" i="2"/>
  <c r="BF164" i="2"/>
  <c r="BE164" i="2"/>
  <c r="BD164" i="2"/>
  <c r="BC164" i="2"/>
  <c r="BB164" i="2"/>
  <c r="BA164" i="2"/>
  <c r="AZ164" i="2"/>
  <c r="AY164" i="2"/>
  <c r="AX164" i="2"/>
  <c r="AV164" i="2"/>
  <c r="AU164" i="2"/>
  <c r="AT164" i="2"/>
  <c r="AS164" i="2"/>
  <c r="AR164" i="2"/>
  <c r="AQ164" i="2"/>
  <c r="AP164" i="2"/>
  <c r="AO164" i="2"/>
  <c r="AN164" i="2"/>
  <c r="AM164" i="2"/>
  <c r="AL164" i="2"/>
  <c r="AK164" i="2"/>
  <c r="W164" i="2"/>
  <c r="AW164" i="2" s="1"/>
  <c r="V164" i="2"/>
  <c r="U164" i="2"/>
  <c r="T164" i="2"/>
  <c r="S164" i="2"/>
  <c r="Q164" i="2"/>
  <c r="P164" i="2"/>
  <c r="N164" i="2"/>
  <c r="M164" i="2"/>
  <c r="L164" i="2"/>
  <c r="K164" i="2"/>
  <c r="J164" i="2"/>
  <c r="H164" i="2"/>
  <c r="G164" i="2"/>
  <c r="F164" i="2"/>
  <c r="BJ163" i="2"/>
  <c r="BK163" i="2" s="1"/>
  <c r="BN163" i="2" s="1"/>
  <c r="BI163" i="2"/>
  <c r="BH163" i="2"/>
  <c r="BG163" i="2"/>
  <c r="BF163" i="2"/>
  <c r="BE163" i="2"/>
  <c r="BD163" i="2"/>
  <c r="BC163" i="2"/>
  <c r="BB163" i="2"/>
  <c r="BA163" i="2"/>
  <c r="AZ163" i="2"/>
  <c r="AY163" i="2"/>
  <c r="AX163" i="2"/>
  <c r="AW163" i="2"/>
  <c r="AU163" i="2"/>
  <c r="AT163" i="2"/>
  <c r="AS163" i="2"/>
  <c r="AR163" i="2"/>
  <c r="AQ163" i="2"/>
  <c r="AP163" i="2"/>
  <c r="AO163" i="2"/>
  <c r="AN163" i="2"/>
  <c r="AM163" i="2"/>
  <c r="Y163" i="2"/>
  <c r="X163" i="2"/>
  <c r="W163" i="2"/>
  <c r="V163" i="2"/>
  <c r="AV163" i="2" s="1"/>
  <c r="U163" i="2"/>
  <c r="T163" i="2"/>
  <c r="S163" i="2"/>
  <c r="R163" i="2"/>
  <c r="Q163" i="2"/>
  <c r="P163" i="2"/>
  <c r="N163" i="2"/>
  <c r="M163" i="2"/>
  <c r="L163" i="2"/>
  <c r="K163" i="2"/>
  <c r="AL163" i="2" s="1"/>
  <c r="J163" i="2"/>
  <c r="AK163" i="2" s="1"/>
  <c r="I163" i="2"/>
  <c r="F163" i="2"/>
  <c r="BJ162" i="2"/>
  <c r="BK162" i="2" s="1"/>
  <c r="BP162" i="2" s="1"/>
  <c r="BI162" i="2"/>
  <c r="BH162" i="2"/>
  <c r="BF162" i="2"/>
  <c r="AV162" i="2"/>
  <c r="AU162" i="2"/>
  <c r="AT162" i="2"/>
  <c r="AS162" i="2"/>
  <c r="AR162" i="2"/>
  <c r="AO162" i="2"/>
  <c r="AL162" i="2"/>
  <c r="AK162" i="2"/>
  <c r="W162" i="2"/>
  <c r="AW162" i="2" s="1"/>
  <c r="V162" i="2"/>
  <c r="U162" i="2"/>
  <c r="T162" i="2"/>
  <c r="S162" i="2"/>
  <c r="Q162" i="2"/>
  <c r="AQ162" i="2" s="1"/>
  <c r="P162" i="2"/>
  <c r="AP162" i="2" s="1"/>
  <c r="N162" i="2"/>
  <c r="M162" i="2"/>
  <c r="AN162" i="2" s="1"/>
  <c r="L162" i="2"/>
  <c r="AM162" i="2" s="1"/>
  <c r="K162" i="2"/>
  <c r="J162" i="2"/>
  <c r="F162" i="2"/>
  <c r="BL164" i="2" s="1"/>
  <c r="BK161" i="2"/>
  <c r="BM161" i="2" s="1"/>
  <c r="BH161" i="2"/>
  <c r="BG161" i="2"/>
  <c r="BG162" i="2" s="1"/>
  <c r="BF161" i="2"/>
  <c r="BE161" i="2"/>
  <c r="BE162" i="2" s="1"/>
  <c r="BD161" i="2"/>
  <c r="BD162" i="2" s="1"/>
  <c r="BC161" i="2"/>
  <c r="BC162" i="2" s="1"/>
  <c r="BB161" i="2"/>
  <c r="BB162" i="2" s="1"/>
  <c r="BA161" i="2"/>
  <c r="BA162" i="2" s="1"/>
  <c r="AZ161" i="2"/>
  <c r="AZ162" i="2" s="1"/>
  <c r="AY161" i="2"/>
  <c r="AY162" i="2" s="1"/>
  <c r="AX161" i="2"/>
  <c r="AX162" i="2" s="1"/>
  <c r="AW161" i="2"/>
  <c r="AR161" i="2"/>
  <c r="AO161" i="2"/>
  <c r="AK161" i="2"/>
  <c r="V161" i="2"/>
  <c r="AV161" i="2" s="1"/>
  <c r="U161" i="2"/>
  <c r="AU161" i="2" s="1"/>
  <c r="T161" i="2"/>
  <c r="AT161" i="2" s="1"/>
  <c r="S161" i="2"/>
  <c r="AS161" i="2" s="1"/>
  <c r="Q161" i="2"/>
  <c r="AQ161" i="2" s="1"/>
  <c r="P161" i="2"/>
  <c r="AP161" i="2" s="1"/>
  <c r="N161" i="2"/>
  <c r="M161" i="2"/>
  <c r="AN161" i="2" s="1"/>
  <c r="L161" i="2"/>
  <c r="AM161" i="2" s="1"/>
  <c r="K161" i="2"/>
  <c r="AL161" i="2" s="1"/>
  <c r="J161" i="2"/>
  <c r="I161" i="2"/>
  <c r="F161" i="2"/>
  <c r="BJ160" i="2"/>
  <c r="BK160" i="2" s="1"/>
  <c r="BO160" i="2" s="1"/>
  <c r="BI160" i="2"/>
  <c r="BH160" i="2"/>
  <c r="BG160" i="2"/>
  <c r="BF160" i="2"/>
  <c r="BE160" i="2"/>
  <c r="BD160" i="2"/>
  <c r="BC160" i="2"/>
  <c r="BB160" i="2"/>
  <c r="BA160" i="2"/>
  <c r="AZ160" i="2"/>
  <c r="AY160" i="2"/>
  <c r="AX160" i="2"/>
  <c r="AW160" i="2"/>
  <c r="AV160" i="2"/>
  <c r="AU160" i="2"/>
  <c r="AT160" i="2"/>
  <c r="AR160" i="2"/>
  <c r="AO160" i="2"/>
  <c r="W160" i="2"/>
  <c r="V160" i="2"/>
  <c r="U160" i="2"/>
  <c r="T160" i="2"/>
  <c r="S160" i="2"/>
  <c r="AS160" i="2" s="1"/>
  <c r="Q160" i="2"/>
  <c r="AQ160" i="2" s="1"/>
  <c r="P160" i="2"/>
  <c r="AP160" i="2" s="1"/>
  <c r="N160" i="2"/>
  <c r="M160" i="2"/>
  <c r="AN160" i="2" s="1"/>
  <c r="L160" i="2"/>
  <c r="AM160" i="2" s="1"/>
  <c r="K160" i="2"/>
  <c r="AL160" i="2" s="1"/>
  <c r="J160" i="2"/>
  <c r="AK160" i="2" s="1"/>
  <c r="H160" i="2"/>
  <c r="G160" i="2"/>
  <c r="F160" i="2"/>
  <c r="BJ159" i="2"/>
  <c r="BI159" i="2"/>
  <c r="BH159" i="2"/>
  <c r="BG159" i="2"/>
  <c r="BF159" i="2"/>
  <c r="BE159" i="2"/>
  <c r="BD159" i="2"/>
  <c r="BC159" i="2"/>
  <c r="BB159" i="2"/>
  <c r="BA159" i="2"/>
  <c r="AZ159" i="2"/>
  <c r="AY159" i="2"/>
  <c r="AX159" i="2"/>
  <c r="AW159" i="2"/>
  <c r="AV159" i="2"/>
  <c r="AP159" i="2"/>
  <c r="AO159" i="2"/>
  <c r="AN159" i="2"/>
  <c r="AM159" i="2"/>
  <c r="AL159" i="2"/>
  <c r="Y159" i="2"/>
  <c r="X159" i="2"/>
  <c r="W159" i="2"/>
  <c r="V159" i="2"/>
  <c r="U159" i="2"/>
  <c r="AU159" i="2" s="1"/>
  <c r="T159" i="2"/>
  <c r="AT159" i="2" s="1"/>
  <c r="S159" i="2"/>
  <c r="AS159" i="2" s="1"/>
  <c r="Q159" i="2"/>
  <c r="AQ159" i="2" s="1"/>
  <c r="P159" i="2"/>
  <c r="N159" i="2"/>
  <c r="M159" i="2"/>
  <c r="L159" i="2"/>
  <c r="K159" i="2"/>
  <c r="J159" i="2"/>
  <c r="AK159" i="2" s="1"/>
  <c r="I159" i="2"/>
  <c r="F159" i="2"/>
  <c r="BP158" i="2"/>
  <c r="BK158" i="2"/>
  <c r="BB158" i="2"/>
  <c r="BA158" i="2"/>
  <c r="AZ158" i="2"/>
  <c r="AY158" i="2"/>
  <c r="AR158" i="2"/>
  <c r="AP158" i="2"/>
  <c r="AO158" i="2"/>
  <c r="AN158" i="2"/>
  <c r="AM158" i="2"/>
  <c r="AL158" i="2"/>
  <c r="AK158" i="2"/>
  <c r="W158" i="2"/>
  <c r="V158" i="2"/>
  <c r="U158" i="2"/>
  <c r="T158" i="2"/>
  <c r="S158" i="2"/>
  <c r="Q158" i="2"/>
  <c r="AQ158" i="2" s="1"/>
  <c r="P158" i="2"/>
  <c r="N158" i="2"/>
  <c r="M158" i="2"/>
  <c r="L158" i="2"/>
  <c r="K158" i="2"/>
  <c r="J158" i="2"/>
  <c r="F158" i="2"/>
  <c r="BK157" i="2"/>
  <c r="BM157" i="2" s="1"/>
  <c r="BH157" i="2"/>
  <c r="BH158" i="2" s="1"/>
  <c r="BG157" i="2"/>
  <c r="BG158" i="2" s="1"/>
  <c r="BF157" i="2"/>
  <c r="BF158" i="2" s="1"/>
  <c r="BE157" i="2"/>
  <c r="BE158" i="2" s="1"/>
  <c r="BD157" i="2"/>
  <c r="BD158" i="2" s="1"/>
  <c r="BC157" i="2"/>
  <c r="BC158" i="2" s="1"/>
  <c r="BB157" i="2"/>
  <c r="BA157" i="2"/>
  <c r="AZ157" i="2"/>
  <c r="AY157" i="2"/>
  <c r="AX157" i="2"/>
  <c r="AX158" i="2" s="1"/>
  <c r="AR157" i="2"/>
  <c r="AO157" i="2"/>
  <c r="AN157" i="2"/>
  <c r="AM157" i="2"/>
  <c r="AL157" i="2"/>
  <c r="AK157" i="2"/>
  <c r="W157" i="2"/>
  <c r="AW157" i="2" s="1"/>
  <c r="V157" i="2"/>
  <c r="AV157" i="2" s="1"/>
  <c r="U157" i="2"/>
  <c r="AU157" i="2" s="1"/>
  <c r="T157" i="2"/>
  <c r="AT157" i="2" s="1"/>
  <c r="S157" i="2"/>
  <c r="AS157" i="2" s="1"/>
  <c r="Q157" i="2"/>
  <c r="AQ157" i="2" s="1"/>
  <c r="P157" i="2"/>
  <c r="AP157" i="2" s="1"/>
  <c r="N157" i="2"/>
  <c r="M157" i="2"/>
  <c r="L157" i="2"/>
  <c r="K157" i="2"/>
  <c r="J157" i="2"/>
  <c r="I157" i="2"/>
  <c r="F157" i="2"/>
  <c r="BJ156" i="2"/>
  <c r="BK156" i="2" s="1"/>
  <c r="BO156" i="2" s="1"/>
  <c r="BI156" i="2"/>
  <c r="BH156" i="2"/>
  <c r="BG156" i="2"/>
  <c r="BF156" i="2"/>
  <c r="BE156" i="2"/>
  <c r="BD156" i="2"/>
  <c r="BC156" i="2"/>
  <c r="BB156" i="2"/>
  <c r="BA156" i="2"/>
  <c r="AZ156" i="2"/>
  <c r="AY156" i="2"/>
  <c r="AX156" i="2"/>
  <c r="AR156" i="2"/>
  <c r="AO156" i="2"/>
  <c r="AN156" i="2"/>
  <c r="AM156" i="2"/>
  <c r="AL156" i="2"/>
  <c r="AK156" i="2"/>
  <c r="W156" i="2"/>
  <c r="AW156" i="2" s="1"/>
  <c r="V156" i="2"/>
  <c r="AV156" i="2" s="1"/>
  <c r="U156" i="2"/>
  <c r="AU156" i="2" s="1"/>
  <c r="T156" i="2"/>
  <c r="AT156" i="2" s="1"/>
  <c r="S156" i="2"/>
  <c r="AS156" i="2" s="1"/>
  <c r="Q156" i="2"/>
  <c r="AQ156" i="2" s="1"/>
  <c r="P156" i="2"/>
  <c r="AP156" i="2" s="1"/>
  <c r="N156" i="2"/>
  <c r="M156" i="2"/>
  <c r="L156" i="2"/>
  <c r="K156" i="2"/>
  <c r="J156" i="2"/>
  <c r="H156" i="2"/>
  <c r="G156" i="2"/>
  <c r="F156" i="2"/>
  <c r="BJ155" i="2"/>
  <c r="BI155" i="2"/>
  <c r="BH155" i="2"/>
  <c r="BG155" i="2"/>
  <c r="BF155" i="2"/>
  <c r="BE155" i="2"/>
  <c r="BD155" i="2"/>
  <c r="BC155" i="2"/>
  <c r="BB155" i="2"/>
  <c r="BA155" i="2"/>
  <c r="AZ155" i="2"/>
  <c r="AU155" i="2"/>
  <c r="AT155" i="2"/>
  <c r="AS155" i="2"/>
  <c r="AR155" i="2"/>
  <c r="AQ155" i="2"/>
  <c r="AO155" i="2"/>
  <c r="AM155" i="2"/>
  <c r="AL155" i="2"/>
  <c r="AK155" i="2"/>
  <c r="Y155" i="2"/>
  <c r="AY155" i="2" s="1"/>
  <c r="X155" i="2"/>
  <c r="AX155" i="2" s="1"/>
  <c r="W155" i="2"/>
  <c r="AW155" i="2" s="1"/>
  <c r="V155" i="2"/>
  <c r="AV155" i="2" s="1"/>
  <c r="U155" i="2"/>
  <c r="T155" i="2"/>
  <c r="S155" i="2"/>
  <c r="R155" i="2"/>
  <c r="Q155" i="2"/>
  <c r="P155" i="2"/>
  <c r="AP155" i="2" s="1"/>
  <c r="N155" i="2"/>
  <c r="M155" i="2"/>
  <c r="AN155" i="2" s="1"/>
  <c r="L155" i="2"/>
  <c r="K155" i="2"/>
  <c r="J155" i="2"/>
  <c r="I155" i="2"/>
  <c r="F155" i="2"/>
  <c r="BJ154" i="2"/>
  <c r="BI154" i="2"/>
  <c r="BH154" i="2"/>
  <c r="BG154" i="2"/>
  <c r="BF154" i="2"/>
  <c r="BB154" i="2"/>
  <c r="AZ154" i="2"/>
  <c r="AY154" i="2"/>
  <c r="AX154" i="2"/>
  <c r="AW154" i="2"/>
  <c r="AV154" i="2"/>
  <c r="AU154" i="2"/>
  <c r="AT154" i="2"/>
  <c r="AR154" i="2"/>
  <c r="AO154" i="2"/>
  <c r="AL154" i="2"/>
  <c r="W154" i="2"/>
  <c r="V154" i="2"/>
  <c r="U154" i="2"/>
  <c r="T154" i="2"/>
  <c r="S154" i="2"/>
  <c r="AS154" i="2" s="1"/>
  <c r="Q154" i="2"/>
  <c r="AQ154" i="2" s="1"/>
  <c r="P154" i="2"/>
  <c r="AP154" i="2" s="1"/>
  <c r="N154" i="2"/>
  <c r="M154" i="2"/>
  <c r="AN154" i="2" s="1"/>
  <c r="L154" i="2"/>
  <c r="AM154" i="2" s="1"/>
  <c r="K154" i="2"/>
  <c r="J154" i="2"/>
  <c r="AK154" i="2" s="1"/>
  <c r="F154" i="2"/>
  <c r="BJ153" i="2"/>
  <c r="BK153" i="2" s="1"/>
  <c r="BM153" i="2" s="1"/>
  <c r="BI153" i="2"/>
  <c r="BH153" i="2"/>
  <c r="BG153" i="2"/>
  <c r="BF153" i="2"/>
  <c r="BE153" i="2"/>
  <c r="BE154" i="2" s="1"/>
  <c r="BD153" i="2"/>
  <c r="BD154" i="2" s="1"/>
  <c r="BC153" i="2"/>
  <c r="BC154" i="2" s="1"/>
  <c r="BB153" i="2"/>
  <c r="BA153" i="2"/>
  <c r="BA154" i="2" s="1"/>
  <c r="AZ153" i="2"/>
  <c r="AY153" i="2"/>
  <c r="AX153" i="2"/>
  <c r="AW153" i="2"/>
  <c r="AV153" i="2"/>
  <c r="AU153" i="2"/>
  <c r="AT153" i="2"/>
  <c r="AR153" i="2"/>
  <c r="AO153" i="2"/>
  <c r="V153" i="2"/>
  <c r="U153" i="2"/>
  <c r="T153" i="2"/>
  <c r="S153" i="2"/>
  <c r="AS153" i="2" s="1"/>
  <c r="Q153" i="2"/>
  <c r="AQ153" i="2" s="1"/>
  <c r="P153" i="2"/>
  <c r="AP153" i="2" s="1"/>
  <c r="N153" i="2"/>
  <c r="M153" i="2"/>
  <c r="AN153" i="2" s="1"/>
  <c r="L153" i="2"/>
  <c r="AM153" i="2" s="1"/>
  <c r="K153" i="2"/>
  <c r="AL153" i="2" s="1"/>
  <c r="J153" i="2"/>
  <c r="AK153" i="2" s="1"/>
  <c r="I153" i="2"/>
  <c r="F153" i="2"/>
  <c r="BJ152" i="2"/>
  <c r="BK152" i="2" s="1"/>
  <c r="BO152" i="2" s="1"/>
  <c r="BI152" i="2"/>
  <c r="BH152" i="2"/>
  <c r="BG152" i="2"/>
  <c r="BF152" i="2"/>
  <c r="BE152" i="2"/>
  <c r="BD152" i="2"/>
  <c r="BC152" i="2"/>
  <c r="BB152" i="2"/>
  <c r="BA152" i="2"/>
  <c r="AZ152" i="2"/>
  <c r="AY152" i="2"/>
  <c r="AX152" i="2"/>
  <c r="AW152" i="2"/>
  <c r="AV152" i="2"/>
  <c r="AR152" i="2"/>
  <c r="AO152" i="2"/>
  <c r="W152" i="2"/>
  <c r="V152" i="2"/>
  <c r="U152" i="2"/>
  <c r="AU152" i="2" s="1"/>
  <c r="T152" i="2"/>
  <c r="AT152" i="2" s="1"/>
  <c r="S152" i="2"/>
  <c r="AS152" i="2" s="1"/>
  <c r="Q152" i="2"/>
  <c r="AQ152" i="2" s="1"/>
  <c r="P152" i="2"/>
  <c r="AP152" i="2" s="1"/>
  <c r="N152" i="2"/>
  <c r="M152" i="2"/>
  <c r="AN152" i="2" s="1"/>
  <c r="L152" i="2"/>
  <c r="AM152" i="2" s="1"/>
  <c r="K152" i="2"/>
  <c r="AL152" i="2" s="1"/>
  <c r="J152" i="2"/>
  <c r="AK152" i="2" s="1"/>
  <c r="H152" i="2"/>
  <c r="G152" i="2"/>
  <c r="F152" i="2"/>
  <c r="BJ151" i="2"/>
  <c r="BK151" i="2" s="1"/>
  <c r="BN151" i="2" s="1"/>
  <c r="BI151" i="2"/>
  <c r="BH151" i="2"/>
  <c r="BG151" i="2"/>
  <c r="BF151" i="2"/>
  <c r="BE151" i="2"/>
  <c r="BD151" i="2"/>
  <c r="BC151" i="2"/>
  <c r="BB151" i="2"/>
  <c r="BA151" i="2"/>
  <c r="AZ151" i="2"/>
  <c r="AY151" i="2"/>
  <c r="AX151" i="2"/>
  <c r="AW151" i="2"/>
  <c r="AV151" i="2"/>
  <c r="AU151" i="2"/>
  <c r="AT151" i="2"/>
  <c r="AS151" i="2"/>
  <c r="AO151" i="2"/>
  <c r="AL151" i="2"/>
  <c r="AK151" i="2"/>
  <c r="Y151" i="2"/>
  <c r="X151" i="2"/>
  <c r="W151" i="2"/>
  <c r="V151" i="2"/>
  <c r="U151" i="2"/>
  <c r="T151" i="2"/>
  <c r="S151" i="2"/>
  <c r="Q151" i="2"/>
  <c r="AQ151" i="2" s="1"/>
  <c r="P151" i="2"/>
  <c r="AP151" i="2" s="1"/>
  <c r="N151" i="2"/>
  <c r="M151" i="2"/>
  <c r="AN151" i="2" s="1"/>
  <c r="L151" i="2"/>
  <c r="AM151" i="2" s="1"/>
  <c r="K151" i="2"/>
  <c r="J151" i="2"/>
  <c r="I151" i="2"/>
  <c r="F151" i="2"/>
  <c r="BI150" i="2"/>
  <c r="BH150" i="2"/>
  <c r="BG150" i="2"/>
  <c r="BF150" i="2"/>
  <c r="BE150" i="2"/>
  <c r="BD150" i="2"/>
  <c r="BC150" i="2"/>
  <c r="BB150" i="2"/>
  <c r="BA150" i="2"/>
  <c r="AZ150" i="2"/>
  <c r="AY150" i="2"/>
  <c r="AX150" i="2"/>
  <c r="AW150" i="2"/>
  <c r="AR150" i="2"/>
  <c r="AQ150" i="2"/>
  <c r="AP150" i="2"/>
  <c r="AO150" i="2"/>
  <c r="AN150" i="2"/>
  <c r="AM150" i="2"/>
  <c r="AL150" i="2"/>
  <c r="AK150" i="2"/>
  <c r="W150" i="2"/>
  <c r="V150" i="2"/>
  <c r="AV150" i="2" s="1"/>
  <c r="U150" i="2"/>
  <c r="AU150" i="2" s="1"/>
  <c r="T150" i="2"/>
  <c r="AT150" i="2" s="1"/>
  <c r="S150" i="2"/>
  <c r="AS150" i="2" s="1"/>
  <c r="Q150" i="2"/>
  <c r="P150" i="2"/>
  <c r="N150" i="2"/>
  <c r="M150" i="2"/>
  <c r="L150" i="2"/>
  <c r="K150" i="2"/>
  <c r="J150" i="2"/>
  <c r="F150" i="2"/>
  <c r="BJ149" i="2"/>
  <c r="BJ150" i="2" s="1"/>
  <c r="BK150" i="2" s="1"/>
  <c r="BP150" i="2" s="1"/>
  <c r="BI149" i="2"/>
  <c r="BH149" i="2"/>
  <c r="BG149" i="2"/>
  <c r="BF149" i="2"/>
  <c r="BE149" i="2"/>
  <c r="BD149" i="2"/>
  <c r="BC149" i="2"/>
  <c r="BB149" i="2"/>
  <c r="BA149" i="2"/>
  <c r="AZ149" i="2"/>
  <c r="AY149" i="2"/>
  <c r="AX149" i="2"/>
  <c r="AS149" i="2"/>
  <c r="AR149" i="2"/>
  <c r="AQ149" i="2"/>
  <c r="AP149" i="2"/>
  <c r="AO149" i="2"/>
  <c r="AN149" i="2"/>
  <c r="AM149" i="2"/>
  <c r="AL149" i="2"/>
  <c r="W149" i="2"/>
  <c r="AW149" i="2" s="1"/>
  <c r="V149" i="2"/>
  <c r="AV149" i="2" s="1"/>
  <c r="U149" i="2"/>
  <c r="AU149" i="2" s="1"/>
  <c r="T149" i="2"/>
  <c r="AT149" i="2" s="1"/>
  <c r="S149" i="2"/>
  <c r="Q149" i="2"/>
  <c r="P149" i="2"/>
  <c r="N149" i="2"/>
  <c r="M149" i="2"/>
  <c r="L149" i="2"/>
  <c r="K149" i="2"/>
  <c r="J149" i="2"/>
  <c r="AK149" i="2" s="1"/>
  <c r="I149" i="2"/>
  <c r="F149" i="2"/>
  <c r="BJ148" i="2"/>
  <c r="BK148" i="2" s="1"/>
  <c r="BO148" i="2" s="1"/>
  <c r="BI148" i="2"/>
  <c r="BH148" i="2"/>
  <c r="BG148" i="2"/>
  <c r="BF148" i="2"/>
  <c r="BE148" i="2"/>
  <c r="BD148" i="2"/>
  <c r="BC148" i="2"/>
  <c r="BB148" i="2"/>
  <c r="BA148" i="2"/>
  <c r="AZ148" i="2"/>
  <c r="AY148" i="2"/>
  <c r="AX148" i="2"/>
  <c r="AV148" i="2"/>
  <c r="AU148" i="2"/>
  <c r="AT148" i="2"/>
  <c r="AS148" i="2"/>
  <c r="AR148" i="2"/>
  <c r="AQ148" i="2"/>
  <c r="AP148" i="2"/>
  <c r="AO148" i="2"/>
  <c r="AN148" i="2"/>
  <c r="W148" i="2"/>
  <c r="AW148" i="2" s="1"/>
  <c r="V148" i="2"/>
  <c r="U148" i="2"/>
  <c r="T148" i="2"/>
  <c r="S148" i="2"/>
  <c r="Q148" i="2"/>
  <c r="P148" i="2"/>
  <c r="N148" i="2"/>
  <c r="M148" i="2"/>
  <c r="L148" i="2"/>
  <c r="AM148" i="2" s="1"/>
  <c r="K148" i="2"/>
  <c r="AL148" i="2" s="1"/>
  <c r="J148" i="2"/>
  <c r="AK148" i="2" s="1"/>
  <c r="H148" i="2"/>
  <c r="G148" i="2"/>
  <c r="F148" i="2"/>
  <c r="BK147" i="2"/>
  <c r="BN147" i="2" s="1"/>
  <c r="BJ147" i="2"/>
  <c r="BI147" i="2"/>
  <c r="BH147" i="2"/>
  <c r="BG147" i="2"/>
  <c r="BF147" i="2"/>
  <c r="BE147" i="2"/>
  <c r="BD147" i="2"/>
  <c r="BC147" i="2"/>
  <c r="BB147" i="2"/>
  <c r="BA147" i="2"/>
  <c r="AZ147" i="2"/>
  <c r="AY147" i="2"/>
  <c r="AX147" i="2"/>
  <c r="AW147" i="2"/>
  <c r="AV147" i="2"/>
  <c r="AU147" i="2"/>
  <c r="AS147" i="2"/>
  <c r="AQ147" i="2"/>
  <c r="AO147" i="2"/>
  <c r="AK147" i="2"/>
  <c r="Y147" i="2"/>
  <c r="X147" i="2"/>
  <c r="W147" i="2"/>
  <c r="V147" i="2"/>
  <c r="U147" i="2"/>
  <c r="T147" i="2"/>
  <c r="AT147" i="2" s="1"/>
  <c r="S147" i="2"/>
  <c r="Q147" i="2"/>
  <c r="R147" i="2" s="1"/>
  <c r="AR147" i="2" s="1"/>
  <c r="P147" i="2"/>
  <c r="AP147" i="2" s="1"/>
  <c r="N147" i="2"/>
  <c r="M147" i="2"/>
  <c r="AN147" i="2" s="1"/>
  <c r="L147" i="2"/>
  <c r="AM147" i="2" s="1"/>
  <c r="K147" i="2"/>
  <c r="AL147" i="2" s="1"/>
  <c r="J147" i="2"/>
  <c r="I147" i="2"/>
  <c r="F147" i="2"/>
  <c r="BJ146" i="2"/>
  <c r="BK146" i="2" s="1"/>
  <c r="BP146" i="2" s="1"/>
  <c r="BF146" i="2"/>
  <c r="BD146" i="2"/>
  <c r="BC146" i="2"/>
  <c r="BB146" i="2"/>
  <c r="BA146" i="2"/>
  <c r="AZ146" i="2"/>
  <c r="AY146" i="2"/>
  <c r="AX146" i="2"/>
  <c r="AV146" i="2"/>
  <c r="AU146" i="2"/>
  <c r="AT146" i="2"/>
  <c r="AR146" i="2"/>
  <c r="AO146" i="2"/>
  <c r="W146" i="2"/>
  <c r="V146" i="2"/>
  <c r="U146" i="2"/>
  <c r="T146" i="2"/>
  <c r="S146" i="2"/>
  <c r="AS146" i="2" s="1"/>
  <c r="Q146" i="2"/>
  <c r="AQ146" i="2" s="1"/>
  <c r="P146" i="2"/>
  <c r="AP146" i="2" s="1"/>
  <c r="N146" i="2"/>
  <c r="M146" i="2"/>
  <c r="AN146" i="2" s="1"/>
  <c r="L146" i="2"/>
  <c r="AM146" i="2" s="1"/>
  <c r="K146" i="2"/>
  <c r="AL146" i="2" s="1"/>
  <c r="J146" i="2"/>
  <c r="AK146" i="2" s="1"/>
  <c r="F146" i="2"/>
  <c r="BK145" i="2"/>
  <c r="BM145" i="2" s="1"/>
  <c r="BJ145" i="2"/>
  <c r="BI145" i="2"/>
  <c r="BI146" i="2" s="1"/>
  <c r="BH145" i="2"/>
  <c r="BH146" i="2" s="1"/>
  <c r="BG145" i="2"/>
  <c r="BG146" i="2" s="1"/>
  <c r="BF145" i="2"/>
  <c r="BE145" i="2"/>
  <c r="BE146" i="2" s="1"/>
  <c r="BD145" i="2"/>
  <c r="BC145" i="2"/>
  <c r="BB145" i="2"/>
  <c r="BA145" i="2"/>
  <c r="AZ145" i="2"/>
  <c r="AY145" i="2"/>
  <c r="AX145" i="2"/>
  <c r="AW145" i="2"/>
  <c r="AW146" i="2" s="1"/>
  <c r="AV145" i="2"/>
  <c r="AU145" i="2"/>
  <c r="AT145" i="2"/>
  <c r="AS145" i="2"/>
  <c r="AR145" i="2"/>
  <c r="AQ145" i="2"/>
  <c r="AO145" i="2"/>
  <c r="W145" i="2"/>
  <c r="V145" i="2"/>
  <c r="U145" i="2"/>
  <c r="T145" i="2"/>
  <c r="S145" i="2"/>
  <c r="Q145" i="2"/>
  <c r="P145" i="2"/>
  <c r="AP145" i="2" s="1"/>
  <c r="N145" i="2"/>
  <c r="M145" i="2"/>
  <c r="AN145" i="2" s="1"/>
  <c r="L145" i="2"/>
  <c r="AM145" i="2" s="1"/>
  <c r="K145" i="2"/>
  <c r="AL145" i="2" s="1"/>
  <c r="J145" i="2"/>
  <c r="AK145" i="2" s="1"/>
  <c r="I145" i="2"/>
  <c r="F145" i="2"/>
  <c r="BL148" i="2" s="1"/>
  <c r="BJ144" i="2"/>
  <c r="BK144" i="2" s="1"/>
  <c r="BO144" i="2" s="1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R144" i="2"/>
  <c r="AO144" i="2"/>
  <c r="AN144" i="2"/>
  <c r="AM144" i="2"/>
  <c r="AL144" i="2"/>
  <c r="AK144" i="2"/>
  <c r="W144" i="2"/>
  <c r="V144" i="2"/>
  <c r="U144" i="2"/>
  <c r="T144" i="2"/>
  <c r="S144" i="2"/>
  <c r="AS144" i="2" s="1"/>
  <c r="Q144" i="2"/>
  <c r="AQ144" i="2" s="1"/>
  <c r="P144" i="2"/>
  <c r="AP144" i="2" s="1"/>
  <c r="N144" i="2"/>
  <c r="M144" i="2"/>
  <c r="L144" i="2"/>
  <c r="K144" i="2"/>
  <c r="J144" i="2"/>
  <c r="H144" i="2"/>
  <c r="G144" i="2"/>
  <c r="F144" i="2"/>
  <c r="BJ143" i="2"/>
  <c r="BK143" i="2" s="1"/>
  <c r="BN143" i="2" s="1"/>
  <c r="BI143" i="2"/>
  <c r="BH143" i="2"/>
  <c r="BG143" i="2"/>
  <c r="BF143" i="2"/>
  <c r="BE143" i="2"/>
  <c r="BD143" i="2"/>
  <c r="BC143" i="2"/>
  <c r="BB143" i="2"/>
  <c r="BA143" i="2"/>
  <c r="AZ143" i="2"/>
  <c r="AQ143" i="2"/>
  <c r="AP143" i="2"/>
  <c r="AO143" i="2"/>
  <c r="AN143" i="2"/>
  <c r="AM143" i="2"/>
  <c r="AL143" i="2"/>
  <c r="AK143" i="2"/>
  <c r="Y143" i="2"/>
  <c r="AY143" i="2" s="1"/>
  <c r="X143" i="2"/>
  <c r="AX143" i="2" s="1"/>
  <c r="W143" i="2"/>
  <c r="AW143" i="2" s="1"/>
  <c r="V143" i="2"/>
  <c r="AV143" i="2" s="1"/>
  <c r="U143" i="2"/>
  <c r="AU143" i="2" s="1"/>
  <c r="T143" i="2"/>
  <c r="AT143" i="2" s="1"/>
  <c r="S143" i="2"/>
  <c r="AS143" i="2" s="1"/>
  <c r="R143" i="2"/>
  <c r="AR143" i="2" s="1"/>
  <c r="Q143" i="2"/>
  <c r="P143" i="2"/>
  <c r="N143" i="2"/>
  <c r="M143" i="2"/>
  <c r="L143" i="2"/>
  <c r="K143" i="2"/>
  <c r="J143" i="2"/>
  <c r="I143" i="2"/>
  <c r="F143" i="2"/>
  <c r="BJ142" i="2"/>
  <c r="BK142" i="2" s="1"/>
  <c r="BP142" i="2" s="1"/>
  <c r="BI142" i="2"/>
  <c r="BH142" i="2"/>
  <c r="BG142" i="2"/>
  <c r="BF142" i="2"/>
  <c r="BE142" i="2"/>
  <c r="AY142" i="2"/>
  <c r="AX142" i="2"/>
  <c r="AR142" i="2"/>
  <c r="AP142" i="2"/>
  <c r="AO142" i="2"/>
  <c r="AN142" i="2"/>
  <c r="AM142" i="2"/>
  <c r="AL142" i="2"/>
  <c r="AK142" i="2"/>
  <c r="W142" i="2"/>
  <c r="AW142" i="2" s="1"/>
  <c r="V142" i="2"/>
  <c r="AV142" i="2" s="1"/>
  <c r="U142" i="2"/>
  <c r="T142" i="2"/>
  <c r="S142" i="2"/>
  <c r="Q142" i="2"/>
  <c r="AQ142" i="2" s="1"/>
  <c r="P142" i="2"/>
  <c r="N142" i="2"/>
  <c r="M142" i="2"/>
  <c r="L142" i="2"/>
  <c r="K142" i="2"/>
  <c r="J142" i="2"/>
  <c r="F142" i="2"/>
  <c r="BJ141" i="2"/>
  <c r="BK141" i="2" s="1"/>
  <c r="BM141" i="2" s="1"/>
  <c r="BI141" i="2"/>
  <c r="BH141" i="2"/>
  <c r="BG141" i="2"/>
  <c r="BF141" i="2"/>
  <c r="BE141" i="2"/>
  <c r="BD141" i="2"/>
  <c r="BD142" i="2" s="1"/>
  <c r="BC141" i="2"/>
  <c r="BC142" i="2" s="1"/>
  <c r="BB141" i="2"/>
  <c r="BB142" i="2" s="1"/>
  <c r="BA141" i="2"/>
  <c r="BA142" i="2" s="1"/>
  <c r="AZ141" i="2"/>
  <c r="AZ142" i="2" s="1"/>
  <c r="AY141" i="2"/>
  <c r="AX141" i="2"/>
  <c r="AR141" i="2"/>
  <c r="AQ141" i="2"/>
  <c r="AP141" i="2"/>
  <c r="AO141" i="2"/>
  <c r="AN141" i="2"/>
  <c r="AM141" i="2"/>
  <c r="AL141" i="2"/>
  <c r="AK141" i="2"/>
  <c r="W141" i="2"/>
  <c r="AW141" i="2" s="1"/>
  <c r="V141" i="2"/>
  <c r="AV141" i="2" s="1"/>
  <c r="U141" i="2"/>
  <c r="AU141" i="2" s="1"/>
  <c r="T141" i="2"/>
  <c r="AT141" i="2" s="1"/>
  <c r="S141" i="2"/>
  <c r="AS141" i="2" s="1"/>
  <c r="Q141" i="2"/>
  <c r="P141" i="2"/>
  <c r="N141" i="2"/>
  <c r="M141" i="2"/>
  <c r="L141" i="2"/>
  <c r="K141" i="2"/>
  <c r="J141" i="2"/>
  <c r="I141" i="2"/>
  <c r="F141" i="2"/>
  <c r="BK140" i="2"/>
  <c r="BO140" i="2" s="1"/>
  <c r="BJ140" i="2"/>
  <c r="BI140" i="2"/>
  <c r="BH140" i="2"/>
  <c r="BG140" i="2"/>
  <c r="BF140" i="2"/>
  <c r="BE140" i="2"/>
  <c r="BD140" i="2"/>
  <c r="BC140" i="2"/>
  <c r="BB140" i="2"/>
  <c r="BA140" i="2"/>
  <c r="AZ140" i="2"/>
  <c r="AY140" i="2"/>
  <c r="AX140" i="2"/>
  <c r="AU140" i="2"/>
  <c r="AT140" i="2"/>
  <c r="AS140" i="2"/>
  <c r="AR140" i="2"/>
  <c r="AQ140" i="2"/>
  <c r="AP140" i="2"/>
  <c r="AO140" i="2"/>
  <c r="AN140" i="2"/>
  <c r="AM140" i="2"/>
  <c r="AL140" i="2"/>
  <c r="AK140" i="2"/>
  <c r="W140" i="2"/>
  <c r="AW140" i="2" s="1"/>
  <c r="V140" i="2"/>
  <c r="AV140" i="2" s="1"/>
  <c r="U140" i="2"/>
  <c r="T140" i="2"/>
  <c r="S140" i="2"/>
  <c r="Q140" i="2"/>
  <c r="P140" i="2"/>
  <c r="N140" i="2"/>
  <c r="M140" i="2"/>
  <c r="L140" i="2"/>
  <c r="K140" i="2"/>
  <c r="J140" i="2"/>
  <c r="H140" i="2"/>
  <c r="G140" i="2"/>
  <c r="F140" i="2"/>
  <c r="BJ139" i="2"/>
  <c r="BK139" i="2" s="1"/>
  <c r="BN139" i="2" s="1"/>
  <c r="BI139" i="2"/>
  <c r="BH139" i="2"/>
  <c r="BG139" i="2"/>
  <c r="BF139" i="2"/>
  <c r="BE139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Y139" i="2"/>
  <c r="X139" i="2"/>
  <c r="W139" i="2"/>
  <c r="V139" i="2"/>
  <c r="U139" i="2"/>
  <c r="T139" i="2"/>
  <c r="S139" i="2"/>
  <c r="R139" i="2"/>
  <c r="Q139" i="2"/>
  <c r="P139" i="2"/>
  <c r="N139" i="2"/>
  <c r="M139" i="2"/>
  <c r="AN139" i="2" s="1"/>
  <c r="L139" i="2"/>
  <c r="AM139" i="2" s="1"/>
  <c r="K139" i="2"/>
  <c r="AL139" i="2" s="1"/>
  <c r="J139" i="2"/>
  <c r="AK139" i="2" s="1"/>
  <c r="I139" i="2"/>
  <c r="F139" i="2"/>
  <c r="BG138" i="2"/>
  <c r="AS138" i="2"/>
  <c r="AR138" i="2"/>
  <c r="AQ138" i="2"/>
  <c r="AO138" i="2"/>
  <c r="AK138" i="2"/>
  <c r="W138" i="2"/>
  <c r="AW138" i="2" s="1"/>
  <c r="V138" i="2"/>
  <c r="AV138" i="2" s="1"/>
  <c r="U138" i="2"/>
  <c r="AU138" i="2" s="1"/>
  <c r="T138" i="2"/>
  <c r="AT138" i="2" s="1"/>
  <c r="S138" i="2"/>
  <c r="Q138" i="2"/>
  <c r="P138" i="2"/>
  <c r="AP138" i="2" s="1"/>
  <c r="N138" i="2"/>
  <c r="M138" i="2"/>
  <c r="AN138" i="2" s="1"/>
  <c r="L138" i="2"/>
  <c r="AM138" i="2" s="1"/>
  <c r="K138" i="2"/>
  <c r="AL138" i="2" s="1"/>
  <c r="J138" i="2"/>
  <c r="F138" i="2"/>
  <c r="BJ137" i="2"/>
  <c r="BJ138" i="2" s="1"/>
  <c r="BK138" i="2" s="1"/>
  <c r="BP138" i="2" s="1"/>
  <c r="BI137" i="2"/>
  <c r="BI138" i="2" s="1"/>
  <c r="BH137" i="2"/>
  <c r="BH138" i="2" s="1"/>
  <c r="BG137" i="2"/>
  <c r="BF137" i="2"/>
  <c r="BF138" i="2" s="1"/>
  <c r="BE137" i="2"/>
  <c r="BE138" i="2" s="1"/>
  <c r="BD137" i="2"/>
  <c r="BD138" i="2" s="1"/>
  <c r="BC137" i="2"/>
  <c r="BC138" i="2" s="1"/>
  <c r="BB137" i="2"/>
  <c r="BB138" i="2" s="1"/>
  <c r="BA137" i="2"/>
  <c r="BA138" i="2" s="1"/>
  <c r="AZ137" i="2"/>
  <c r="AZ138" i="2" s="1"/>
  <c r="AY137" i="2"/>
  <c r="AY138" i="2" s="1"/>
  <c r="AX137" i="2"/>
  <c r="AX138" i="2" s="1"/>
  <c r="AR137" i="2"/>
  <c r="AO137" i="2"/>
  <c r="AK137" i="2"/>
  <c r="W137" i="2"/>
  <c r="AW137" i="2" s="1"/>
  <c r="V137" i="2"/>
  <c r="AV137" i="2" s="1"/>
  <c r="U137" i="2"/>
  <c r="AU137" i="2" s="1"/>
  <c r="T137" i="2"/>
  <c r="AT137" i="2" s="1"/>
  <c r="S137" i="2"/>
  <c r="AS137" i="2" s="1"/>
  <c r="Q137" i="2"/>
  <c r="AQ137" i="2" s="1"/>
  <c r="P137" i="2"/>
  <c r="AP137" i="2" s="1"/>
  <c r="N137" i="2"/>
  <c r="M137" i="2"/>
  <c r="AN137" i="2" s="1"/>
  <c r="L137" i="2"/>
  <c r="AM137" i="2" s="1"/>
  <c r="K137" i="2"/>
  <c r="AL137" i="2" s="1"/>
  <c r="J137" i="2"/>
  <c r="I137" i="2"/>
  <c r="F137" i="2"/>
  <c r="BJ136" i="2"/>
  <c r="BI136" i="2"/>
  <c r="BK136" i="2" s="1"/>
  <c r="BO136" i="2" s="1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R136" i="2"/>
  <c r="AO136" i="2"/>
  <c r="AL136" i="2"/>
  <c r="AK136" i="2"/>
  <c r="W136" i="2"/>
  <c r="V136" i="2"/>
  <c r="U136" i="2"/>
  <c r="T136" i="2"/>
  <c r="AT136" i="2" s="1"/>
  <c r="S136" i="2"/>
  <c r="AS136" i="2" s="1"/>
  <c r="Q136" i="2"/>
  <c r="AQ136" i="2" s="1"/>
  <c r="P136" i="2"/>
  <c r="AP136" i="2" s="1"/>
  <c r="N136" i="2"/>
  <c r="M136" i="2"/>
  <c r="AN136" i="2" s="1"/>
  <c r="L136" i="2"/>
  <c r="AM136" i="2" s="1"/>
  <c r="K136" i="2"/>
  <c r="J136" i="2"/>
  <c r="H136" i="2"/>
  <c r="G136" i="2"/>
  <c r="F136" i="2"/>
  <c r="BJ135" i="2"/>
  <c r="BI135" i="2"/>
  <c r="BK135" i="2" s="1"/>
  <c r="BN135" i="2" s="1"/>
  <c r="BH135" i="2"/>
  <c r="BG135" i="2"/>
  <c r="BF135" i="2"/>
  <c r="BE135" i="2"/>
  <c r="BD135" i="2"/>
  <c r="BC135" i="2"/>
  <c r="BB135" i="2"/>
  <c r="BA135" i="2"/>
  <c r="AZ135" i="2"/>
  <c r="AY135" i="2"/>
  <c r="AX135" i="2"/>
  <c r="AR135" i="2"/>
  <c r="AQ135" i="2"/>
  <c r="AP135" i="2"/>
  <c r="AO135" i="2"/>
  <c r="AN135" i="2"/>
  <c r="Y135" i="2"/>
  <c r="X135" i="2"/>
  <c r="W135" i="2"/>
  <c r="AW135" i="2" s="1"/>
  <c r="V135" i="2"/>
  <c r="AV135" i="2" s="1"/>
  <c r="U135" i="2"/>
  <c r="AU135" i="2" s="1"/>
  <c r="T135" i="2"/>
  <c r="AT135" i="2" s="1"/>
  <c r="S135" i="2"/>
  <c r="AS135" i="2" s="1"/>
  <c r="Q135" i="2"/>
  <c r="R135" i="2" s="1"/>
  <c r="P135" i="2"/>
  <c r="N135" i="2"/>
  <c r="M135" i="2"/>
  <c r="L135" i="2"/>
  <c r="AM135" i="2" s="1"/>
  <c r="K135" i="2"/>
  <c r="AL135" i="2" s="1"/>
  <c r="J135" i="2"/>
  <c r="AK135" i="2" s="1"/>
  <c r="I135" i="2"/>
  <c r="F135" i="2"/>
  <c r="BG134" i="2"/>
  <c r="BF134" i="2"/>
  <c r="BE134" i="2"/>
  <c r="BD134" i="2"/>
  <c r="BC134" i="2"/>
  <c r="AZ134" i="2"/>
  <c r="AY134" i="2"/>
  <c r="AX134" i="2"/>
  <c r="AW134" i="2"/>
  <c r="AV134" i="2"/>
  <c r="AR134" i="2"/>
  <c r="AQ134" i="2"/>
  <c r="AP134" i="2"/>
  <c r="AO134" i="2"/>
  <c r="AN134" i="2"/>
  <c r="AM134" i="2"/>
  <c r="W134" i="2"/>
  <c r="V134" i="2"/>
  <c r="U134" i="2"/>
  <c r="T134" i="2"/>
  <c r="S134" i="2"/>
  <c r="Q134" i="2"/>
  <c r="P134" i="2"/>
  <c r="N134" i="2"/>
  <c r="M134" i="2"/>
  <c r="L134" i="2"/>
  <c r="K134" i="2"/>
  <c r="AL134" i="2" s="1"/>
  <c r="J134" i="2"/>
  <c r="AK134" i="2" s="1"/>
  <c r="F134" i="2"/>
  <c r="BJ133" i="2"/>
  <c r="BJ134" i="2" s="1"/>
  <c r="BI133" i="2"/>
  <c r="BI134" i="2" s="1"/>
  <c r="BH133" i="2"/>
  <c r="BH134" i="2" s="1"/>
  <c r="BG133" i="2"/>
  <c r="BF133" i="2"/>
  <c r="BE133" i="2"/>
  <c r="BD133" i="2"/>
  <c r="BC133" i="2"/>
  <c r="BB133" i="2"/>
  <c r="BB134" i="2" s="1"/>
  <c r="BA133" i="2"/>
  <c r="BA134" i="2" s="1"/>
  <c r="AZ133" i="2"/>
  <c r="AY133" i="2"/>
  <c r="AX133" i="2"/>
  <c r="AU133" i="2"/>
  <c r="AT133" i="2"/>
  <c r="AS133" i="2"/>
  <c r="AR133" i="2"/>
  <c r="AQ133" i="2"/>
  <c r="AP133" i="2"/>
  <c r="AO133" i="2"/>
  <c r="AN133" i="2"/>
  <c r="W133" i="2"/>
  <c r="AW133" i="2" s="1"/>
  <c r="V133" i="2"/>
  <c r="AV133" i="2" s="1"/>
  <c r="U133" i="2"/>
  <c r="T133" i="2"/>
  <c r="S133" i="2"/>
  <c r="Q133" i="2"/>
  <c r="P133" i="2"/>
  <c r="N133" i="2"/>
  <c r="M133" i="2"/>
  <c r="L133" i="2"/>
  <c r="AM133" i="2" s="1"/>
  <c r="K133" i="2"/>
  <c r="AL133" i="2" s="1"/>
  <c r="J133" i="2"/>
  <c r="AK133" i="2" s="1"/>
  <c r="I133" i="2"/>
  <c r="F133" i="2"/>
  <c r="BJ132" i="2"/>
  <c r="BK132" i="2" s="1"/>
  <c r="BO132" i="2" s="1"/>
  <c r="BI132" i="2"/>
  <c r="BH132" i="2"/>
  <c r="BG132" i="2"/>
  <c r="BF132" i="2"/>
  <c r="BE132" i="2"/>
  <c r="BD132" i="2"/>
  <c r="BC132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O132" i="2"/>
  <c r="W132" i="2"/>
  <c r="V132" i="2"/>
  <c r="U132" i="2"/>
  <c r="T132" i="2"/>
  <c r="S132" i="2"/>
  <c r="Q132" i="2"/>
  <c r="P132" i="2"/>
  <c r="AP132" i="2" s="1"/>
  <c r="N132" i="2"/>
  <c r="M132" i="2"/>
  <c r="AN132" i="2" s="1"/>
  <c r="L132" i="2"/>
  <c r="AM132" i="2" s="1"/>
  <c r="K132" i="2"/>
  <c r="AL132" i="2" s="1"/>
  <c r="J132" i="2"/>
  <c r="AK132" i="2" s="1"/>
  <c r="H132" i="2"/>
  <c r="G132" i="2"/>
  <c r="F132" i="2"/>
  <c r="BJ131" i="2"/>
  <c r="BK131" i="2" s="1"/>
  <c r="BN131" i="2" s="1"/>
  <c r="BI131" i="2"/>
  <c r="BH131" i="2"/>
  <c r="BG131" i="2"/>
  <c r="BF131" i="2"/>
  <c r="BE131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O131" i="2"/>
  <c r="Y131" i="2"/>
  <c r="X131" i="2"/>
  <c r="W131" i="2"/>
  <c r="V131" i="2"/>
  <c r="U131" i="2"/>
  <c r="T131" i="2"/>
  <c r="S131" i="2"/>
  <c r="Q131" i="2"/>
  <c r="AQ131" i="2" s="1"/>
  <c r="P131" i="2"/>
  <c r="AP131" i="2" s="1"/>
  <c r="N131" i="2"/>
  <c r="M131" i="2"/>
  <c r="AN131" i="2" s="1"/>
  <c r="L131" i="2"/>
  <c r="AM131" i="2" s="1"/>
  <c r="K131" i="2"/>
  <c r="AL131" i="2" s="1"/>
  <c r="J131" i="2"/>
  <c r="AK131" i="2" s="1"/>
  <c r="I131" i="2"/>
  <c r="F131" i="2"/>
  <c r="BJ130" i="2"/>
  <c r="BH130" i="2"/>
  <c r="BF130" i="2"/>
  <c r="BE130" i="2"/>
  <c r="BD130" i="2"/>
  <c r="BC130" i="2"/>
  <c r="BB130" i="2"/>
  <c r="BA130" i="2"/>
  <c r="AZ130" i="2"/>
  <c r="AY130" i="2"/>
  <c r="AX130" i="2"/>
  <c r="AT130" i="2"/>
  <c r="AR130" i="2"/>
  <c r="AQ130" i="2"/>
  <c r="AP130" i="2"/>
  <c r="AO130" i="2"/>
  <c r="W130" i="2"/>
  <c r="V130" i="2"/>
  <c r="U130" i="2"/>
  <c r="T130" i="2"/>
  <c r="S130" i="2"/>
  <c r="Q130" i="2"/>
  <c r="P130" i="2"/>
  <c r="N130" i="2"/>
  <c r="M130" i="2"/>
  <c r="AN130" i="2" s="1"/>
  <c r="L130" i="2"/>
  <c r="AM130" i="2" s="1"/>
  <c r="K130" i="2"/>
  <c r="AL130" i="2" s="1"/>
  <c r="J130" i="2"/>
  <c r="AK130" i="2" s="1"/>
  <c r="F130" i="2"/>
  <c r="BK129" i="2"/>
  <c r="BM129" i="2" s="1"/>
  <c r="BJ129" i="2"/>
  <c r="BI129" i="2"/>
  <c r="BI130" i="2" s="1"/>
  <c r="BH129" i="2"/>
  <c r="BG129" i="2"/>
  <c r="BG130" i="2" s="1"/>
  <c r="BF129" i="2"/>
  <c r="BE129" i="2"/>
  <c r="BD129" i="2"/>
  <c r="BC129" i="2"/>
  <c r="BB129" i="2"/>
  <c r="BA129" i="2"/>
  <c r="AZ129" i="2"/>
  <c r="AY129" i="2"/>
  <c r="AX129" i="2"/>
  <c r="AU129" i="2"/>
  <c r="AT129" i="2"/>
  <c r="AS129" i="2"/>
  <c r="AR129" i="2"/>
  <c r="AQ129" i="2"/>
  <c r="AO129" i="2"/>
  <c r="AK129" i="2"/>
  <c r="W129" i="2"/>
  <c r="AW129" i="2" s="1"/>
  <c r="AW130" i="2" s="1"/>
  <c r="V129" i="2"/>
  <c r="AV129" i="2" s="1"/>
  <c r="AV130" i="2" s="1"/>
  <c r="U129" i="2"/>
  <c r="T129" i="2"/>
  <c r="S129" i="2"/>
  <c r="Q129" i="2"/>
  <c r="P129" i="2"/>
  <c r="AP129" i="2" s="1"/>
  <c r="N129" i="2"/>
  <c r="M129" i="2"/>
  <c r="AN129" i="2" s="1"/>
  <c r="L129" i="2"/>
  <c r="AM129" i="2" s="1"/>
  <c r="K129" i="2"/>
  <c r="AL129" i="2" s="1"/>
  <c r="J129" i="2"/>
  <c r="I129" i="2"/>
  <c r="F129" i="2"/>
  <c r="BJ128" i="2"/>
  <c r="BK128" i="2" s="1"/>
  <c r="BO128" i="2" s="1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U128" i="2"/>
  <c r="AT128" i="2"/>
  <c r="AR128" i="2"/>
  <c r="AO128" i="2"/>
  <c r="AN128" i="2"/>
  <c r="AM128" i="2"/>
  <c r="AL128" i="2"/>
  <c r="AK128" i="2"/>
  <c r="W128" i="2"/>
  <c r="AW128" i="2" s="1"/>
  <c r="V128" i="2"/>
  <c r="AV128" i="2" s="1"/>
  <c r="U128" i="2"/>
  <c r="T128" i="2"/>
  <c r="S128" i="2"/>
  <c r="AS128" i="2" s="1"/>
  <c r="Q128" i="2"/>
  <c r="AQ128" i="2" s="1"/>
  <c r="P128" i="2"/>
  <c r="AP128" i="2" s="1"/>
  <c r="N128" i="2"/>
  <c r="M128" i="2"/>
  <c r="L128" i="2"/>
  <c r="K128" i="2"/>
  <c r="J128" i="2"/>
  <c r="H128" i="2"/>
  <c r="G128" i="2"/>
  <c r="F128" i="2"/>
  <c r="BJ127" i="2"/>
  <c r="BK127" i="2" s="1"/>
  <c r="BN127" i="2" s="1"/>
  <c r="BI127" i="2"/>
  <c r="BH127" i="2"/>
  <c r="BG127" i="2"/>
  <c r="BF127" i="2"/>
  <c r="BE127" i="2"/>
  <c r="BD127" i="2"/>
  <c r="BC127" i="2"/>
  <c r="BB127" i="2"/>
  <c r="BA127" i="2"/>
  <c r="AZ127" i="2"/>
  <c r="AQ127" i="2"/>
  <c r="AP127" i="2"/>
  <c r="AO127" i="2"/>
  <c r="AN127" i="2"/>
  <c r="AM127" i="2"/>
  <c r="AL127" i="2"/>
  <c r="AK127" i="2"/>
  <c r="Y127" i="2"/>
  <c r="AY127" i="2" s="1"/>
  <c r="X127" i="2"/>
  <c r="AX127" i="2" s="1"/>
  <c r="W127" i="2"/>
  <c r="AW127" i="2" s="1"/>
  <c r="V127" i="2"/>
  <c r="AV127" i="2" s="1"/>
  <c r="U127" i="2"/>
  <c r="AU127" i="2" s="1"/>
  <c r="T127" i="2"/>
  <c r="AT127" i="2" s="1"/>
  <c r="S127" i="2"/>
  <c r="AS127" i="2" s="1"/>
  <c r="R127" i="2"/>
  <c r="AR127" i="2" s="1"/>
  <c r="Q127" i="2"/>
  <c r="P127" i="2"/>
  <c r="N127" i="2"/>
  <c r="M127" i="2"/>
  <c r="L127" i="2"/>
  <c r="K127" i="2"/>
  <c r="J127" i="2"/>
  <c r="I127" i="2"/>
  <c r="F127" i="2"/>
  <c r="BJ126" i="2"/>
  <c r="BC126" i="2"/>
  <c r="BB126" i="2"/>
  <c r="AX126" i="2"/>
  <c r="AT126" i="2"/>
  <c r="AS126" i="2"/>
  <c r="AR126" i="2"/>
  <c r="AQ126" i="2"/>
  <c r="AP126" i="2"/>
  <c r="AO126" i="2"/>
  <c r="AN126" i="2"/>
  <c r="AM126" i="2"/>
  <c r="AL126" i="2"/>
  <c r="AK126" i="2"/>
  <c r="W126" i="2"/>
  <c r="AW126" i="2" s="1"/>
  <c r="V126" i="2"/>
  <c r="U126" i="2"/>
  <c r="AU126" i="2" s="1"/>
  <c r="T126" i="2"/>
  <c r="S126" i="2"/>
  <c r="Q126" i="2"/>
  <c r="P126" i="2"/>
  <c r="N126" i="2"/>
  <c r="M126" i="2"/>
  <c r="L126" i="2"/>
  <c r="K126" i="2"/>
  <c r="J126" i="2"/>
  <c r="F126" i="2"/>
  <c r="BJ125" i="2"/>
  <c r="BK125" i="2" s="1"/>
  <c r="BM125" i="2" s="1"/>
  <c r="BI125" i="2"/>
  <c r="BI126" i="2" s="1"/>
  <c r="BH125" i="2"/>
  <c r="BH126" i="2" s="1"/>
  <c r="BG125" i="2"/>
  <c r="BG126" i="2" s="1"/>
  <c r="BF125" i="2"/>
  <c r="BF126" i="2" s="1"/>
  <c r="BE125" i="2"/>
  <c r="BE126" i="2" s="1"/>
  <c r="BD125" i="2"/>
  <c r="BD126" i="2" s="1"/>
  <c r="BC125" i="2"/>
  <c r="BB125" i="2"/>
  <c r="BA125" i="2"/>
  <c r="BA126" i="2" s="1"/>
  <c r="AZ125" i="2"/>
  <c r="AZ126" i="2" s="1"/>
  <c r="AY125" i="2"/>
  <c r="AY126" i="2" s="1"/>
  <c r="AX125" i="2"/>
  <c r="AU125" i="2"/>
  <c r="AT125" i="2"/>
  <c r="AS125" i="2"/>
  <c r="AR125" i="2"/>
  <c r="AQ125" i="2"/>
  <c r="AP125" i="2"/>
  <c r="AO125" i="2"/>
  <c r="AN125" i="2"/>
  <c r="AM125" i="2"/>
  <c r="AL125" i="2"/>
  <c r="AK125" i="2"/>
  <c r="W125" i="2"/>
  <c r="AW125" i="2" s="1"/>
  <c r="V125" i="2"/>
  <c r="AV125" i="2" s="1"/>
  <c r="U125" i="2"/>
  <c r="T125" i="2"/>
  <c r="S125" i="2"/>
  <c r="Q125" i="2"/>
  <c r="P125" i="2"/>
  <c r="N125" i="2"/>
  <c r="M125" i="2"/>
  <c r="L125" i="2"/>
  <c r="K125" i="2"/>
  <c r="J125" i="2"/>
  <c r="I125" i="2"/>
  <c r="F125" i="2"/>
  <c r="BJ124" i="2"/>
  <c r="BK124" i="2" s="1"/>
  <c r="BO124" i="2" s="1"/>
  <c r="BI124" i="2"/>
  <c r="BH124" i="2"/>
  <c r="BG124" i="2"/>
  <c r="BF124" i="2"/>
  <c r="BE124" i="2"/>
  <c r="BD124" i="2"/>
  <c r="BC124" i="2"/>
  <c r="BB124" i="2"/>
  <c r="BA124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AM124" i="2"/>
  <c r="AL124" i="2"/>
  <c r="W124" i="2"/>
  <c r="V124" i="2"/>
  <c r="U124" i="2"/>
  <c r="T124" i="2"/>
  <c r="S124" i="2"/>
  <c r="Q124" i="2"/>
  <c r="P124" i="2"/>
  <c r="N124" i="2"/>
  <c r="M124" i="2"/>
  <c r="L124" i="2"/>
  <c r="K124" i="2"/>
  <c r="J124" i="2"/>
  <c r="AK124" i="2" s="1"/>
  <c r="H124" i="2"/>
  <c r="G124" i="2"/>
  <c r="F124" i="2"/>
  <c r="BJ123" i="2"/>
  <c r="BK123" i="2" s="1"/>
  <c r="BN123" i="2" s="1"/>
  <c r="BI123" i="2"/>
  <c r="BH123" i="2"/>
  <c r="BG123" i="2"/>
  <c r="BF123" i="2"/>
  <c r="BE123" i="2"/>
  <c r="BD123" i="2"/>
  <c r="BC123" i="2"/>
  <c r="BB123" i="2"/>
  <c r="BA123" i="2"/>
  <c r="AZ123" i="2"/>
  <c r="AY123" i="2"/>
  <c r="AU123" i="2"/>
  <c r="AT123" i="2"/>
  <c r="AS123" i="2"/>
  <c r="AR123" i="2"/>
  <c r="AQ123" i="2"/>
  <c r="AP123" i="2"/>
  <c r="AO123" i="2"/>
  <c r="Y123" i="2"/>
  <c r="X123" i="2"/>
  <c r="AX123" i="2" s="1"/>
  <c r="W123" i="2"/>
  <c r="AW123" i="2" s="1"/>
  <c r="V123" i="2"/>
  <c r="AV123" i="2" s="1"/>
  <c r="U123" i="2"/>
  <c r="T123" i="2"/>
  <c r="S123" i="2"/>
  <c r="Q123" i="2"/>
  <c r="R123" i="2" s="1"/>
  <c r="P123" i="2"/>
  <c r="N123" i="2"/>
  <c r="M123" i="2"/>
  <c r="AN123" i="2" s="1"/>
  <c r="L123" i="2"/>
  <c r="AM123" i="2" s="1"/>
  <c r="K123" i="2"/>
  <c r="AL123" i="2" s="1"/>
  <c r="J123" i="2"/>
  <c r="AK123" i="2" s="1"/>
  <c r="I123" i="2"/>
  <c r="F123" i="2"/>
  <c r="BJ122" i="2"/>
  <c r="BK122" i="2" s="1"/>
  <c r="BP122" i="2" s="1"/>
  <c r="BI122" i="2"/>
  <c r="BH122" i="2"/>
  <c r="BG122" i="2"/>
  <c r="BF122" i="2"/>
  <c r="BE122" i="2"/>
  <c r="BD122" i="2"/>
  <c r="BC122" i="2"/>
  <c r="AR122" i="2"/>
  <c r="AO122" i="2"/>
  <c r="AK122" i="2"/>
  <c r="W122" i="2"/>
  <c r="V122" i="2"/>
  <c r="U122" i="2"/>
  <c r="T122" i="2"/>
  <c r="S122" i="2"/>
  <c r="Q122" i="2"/>
  <c r="AQ122" i="2" s="1"/>
  <c r="P122" i="2"/>
  <c r="AP122" i="2" s="1"/>
  <c r="N122" i="2"/>
  <c r="M122" i="2"/>
  <c r="AN122" i="2" s="1"/>
  <c r="L122" i="2"/>
  <c r="AM122" i="2" s="1"/>
  <c r="K122" i="2"/>
  <c r="AL122" i="2" s="1"/>
  <c r="J122" i="2"/>
  <c r="F122" i="2"/>
  <c r="BJ121" i="2"/>
  <c r="BK121" i="2" s="1"/>
  <c r="BM121" i="2" s="1"/>
  <c r="BI121" i="2"/>
  <c r="BH121" i="2"/>
  <c r="BG121" i="2"/>
  <c r="BF121" i="2"/>
  <c r="BE121" i="2"/>
  <c r="BD121" i="2"/>
  <c r="BC121" i="2"/>
  <c r="BB121" i="2"/>
  <c r="BB122" i="2" s="1"/>
  <c r="BA121" i="2"/>
  <c r="BA122" i="2" s="1"/>
  <c r="AZ121" i="2"/>
  <c r="AZ122" i="2" s="1"/>
  <c r="AY121" i="2"/>
  <c r="AY122" i="2" s="1"/>
  <c r="AX121" i="2"/>
  <c r="AX122" i="2" s="1"/>
  <c r="AR121" i="2"/>
  <c r="AO121" i="2"/>
  <c r="W121" i="2"/>
  <c r="AW121" i="2" s="1"/>
  <c r="V121" i="2"/>
  <c r="AV121" i="2" s="1"/>
  <c r="U121" i="2"/>
  <c r="AU121" i="2" s="1"/>
  <c r="T121" i="2"/>
  <c r="AT121" i="2" s="1"/>
  <c r="S121" i="2"/>
  <c r="AS121" i="2" s="1"/>
  <c r="Q121" i="2"/>
  <c r="AQ121" i="2" s="1"/>
  <c r="P121" i="2"/>
  <c r="AP121" i="2" s="1"/>
  <c r="N121" i="2"/>
  <c r="M121" i="2"/>
  <c r="AN121" i="2" s="1"/>
  <c r="L121" i="2"/>
  <c r="AM121" i="2" s="1"/>
  <c r="K121" i="2"/>
  <c r="AL121" i="2" s="1"/>
  <c r="J121" i="2"/>
  <c r="AK121" i="2" s="1"/>
  <c r="I121" i="2"/>
  <c r="F121" i="2"/>
  <c r="BJ120" i="2"/>
  <c r="BI120" i="2"/>
  <c r="BK120" i="2" s="1"/>
  <c r="BO120" i="2" s="1"/>
  <c r="BH120" i="2"/>
  <c r="BG120" i="2"/>
  <c r="BF120" i="2"/>
  <c r="BE120" i="2"/>
  <c r="BD120" i="2"/>
  <c r="BC120" i="2"/>
  <c r="BB120" i="2"/>
  <c r="BA120" i="2"/>
  <c r="AZ120" i="2"/>
  <c r="AY120" i="2"/>
  <c r="AX120" i="2"/>
  <c r="AW120" i="2"/>
  <c r="AV120" i="2"/>
  <c r="AU120" i="2"/>
  <c r="AR120" i="2"/>
  <c r="AO120" i="2"/>
  <c r="AL120" i="2"/>
  <c r="AK120" i="2"/>
  <c r="W120" i="2"/>
  <c r="V120" i="2"/>
  <c r="U120" i="2"/>
  <c r="T120" i="2"/>
  <c r="AT120" i="2" s="1"/>
  <c r="S120" i="2"/>
  <c r="AS120" i="2" s="1"/>
  <c r="Q120" i="2"/>
  <c r="AQ120" i="2" s="1"/>
  <c r="P120" i="2"/>
  <c r="AP120" i="2" s="1"/>
  <c r="N120" i="2"/>
  <c r="M120" i="2"/>
  <c r="AN120" i="2" s="1"/>
  <c r="L120" i="2"/>
  <c r="AM120" i="2" s="1"/>
  <c r="K120" i="2"/>
  <c r="J120" i="2"/>
  <c r="H120" i="2"/>
  <c r="G120" i="2"/>
  <c r="F120" i="2"/>
  <c r="BK119" i="2"/>
  <c r="BN119" i="2" s="1"/>
  <c r="BJ119" i="2"/>
  <c r="BI119" i="2"/>
  <c r="BH119" i="2"/>
  <c r="BG119" i="2"/>
  <c r="BF119" i="2"/>
  <c r="BE119" i="2"/>
  <c r="BD119" i="2"/>
  <c r="BC119" i="2"/>
  <c r="BB119" i="2"/>
  <c r="BA119" i="2"/>
  <c r="AZ119" i="2"/>
  <c r="AY119" i="2"/>
  <c r="AX119" i="2"/>
  <c r="AR119" i="2"/>
  <c r="AQ119" i="2"/>
  <c r="AP119" i="2"/>
  <c r="AO119" i="2"/>
  <c r="AN119" i="2"/>
  <c r="Y119" i="2"/>
  <c r="X119" i="2"/>
  <c r="W119" i="2"/>
  <c r="AW119" i="2" s="1"/>
  <c r="V119" i="2"/>
  <c r="AV119" i="2" s="1"/>
  <c r="U119" i="2"/>
  <c r="AU119" i="2" s="1"/>
  <c r="T119" i="2"/>
  <c r="AT119" i="2" s="1"/>
  <c r="S119" i="2"/>
  <c r="AS119" i="2" s="1"/>
  <c r="Q119" i="2"/>
  <c r="R119" i="2" s="1"/>
  <c r="P119" i="2"/>
  <c r="N119" i="2"/>
  <c r="M119" i="2"/>
  <c r="L119" i="2"/>
  <c r="AM119" i="2" s="1"/>
  <c r="K119" i="2"/>
  <c r="AL119" i="2" s="1"/>
  <c r="J119" i="2"/>
  <c r="AK119" i="2" s="1"/>
  <c r="I119" i="2"/>
  <c r="F119" i="2"/>
  <c r="BF118" i="2"/>
  <c r="BE118" i="2"/>
  <c r="BD118" i="2"/>
  <c r="BC118" i="2"/>
  <c r="AY118" i="2"/>
  <c r="AU118" i="2"/>
  <c r="AT118" i="2"/>
  <c r="AS118" i="2"/>
  <c r="AR118" i="2"/>
  <c r="AQ118" i="2"/>
  <c r="AP118" i="2"/>
  <c r="AO118" i="2"/>
  <c r="AN118" i="2"/>
  <c r="W118" i="2"/>
  <c r="V118" i="2"/>
  <c r="U118" i="2"/>
  <c r="T118" i="2"/>
  <c r="S118" i="2"/>
  <c r="Q118" i="2"/>
  <c r="P118" i="2"/>
  <c r="N118" i="2"/>
  <c r="M118" i="2"/>
  <c r="L118" i="2"/>
  <c r="AM118" i="2" s="1"/>
  <c r="K118" i="2"/>
  <c r="AL118" i="2" s="1"/>
  <c r="J118" i="2"/>
  <c r="AK118" i="2" s="1"/>
  <c r="F118" i="2"/>
  <c r="BJ117" i="2"/>
  <c r="BK117" i="2" s="1"/>
  <c r="BM117" i="2" s="1"/>
  <c r="BI117" i="2"/>
  <c r="BI118" i="2" s="1"/>
  <c r="BH117" i="2"/>
  <c r="BH118" i="2" s="1"/>
  <c r="BG117" i="2"/>
  <c r="BG118" i="2" s="1"/>
  <c r="BF117" i="2"/>
  <c r="BE117" i="2"/>
  <c r="BD117" i="2"/>
  <c r="BC117" i="2"/>
  <c r="BB117" i="2"/>
  <c r="BB118" i="2" s="1"/>
  <c r="BA117" i="2"/>
  <c r="BA118" i="2" s="1"/>
  <c r="AZ117" i="2"/>
  <c r="AZ118" i="2" s="1"/>
  <c r="AY117" i="2"/>
  <c r="AX117" i="2"/>
  <c r="AX118" i="2" s="1"/>
  <c r="AW117" i="2"/>
  <c r="AW118" i="2" s="1"/>
  <c r="AV117" i="2"/>
  <c r="AV118" i="2" s="1"/>
  <c r="AU117" i="2"/>
  <c r="AT117" i="2"/>
  <c r="AS117" i="2"/>
  <c r="AR117" i="2"/>
  <c r="AQ117" i="2"/>
  <c r="AP117" i="2"/>
  <c r="AO117" i="2"/>
  <c r="AN117" i="2"/>
  <c r="W117" i="2"/>
  <c r="V117" i="2"/>
  <c r="U117" i="2"/>
  <c r="T117" i="2"/>
  <c r="S117" i="2"/>
  <c r="Q117" i="2"/>
  <c r="P117" i="2"/>
  <c r="N117" i="2"/>
  <c r="M117" i="2"/>
  <c r="L117" i="2"/>
  <c r="AM117" i="2" s="1"/>
  <c r="K117" i="2"/>
  <c r="AL117" i="2" s="1"/>
  <c r="J117" i="2"/>
  <c r="AK117" i="2" s="1"/>
  <c r="I117" i="2"/>
  <c r="F117" i="2"/>
  <c r="BJ116" i="2"/>
  <c r="BK116" i="2" s="1"/>
  <c r="BO116" i="2" s="1"/>
  <c r="BI116" i="2"/>
  <c r="BH116" i="2"/>
  <c r="BG116" i="2"/>
  <c r="BF116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W116" i="2"/>
  <c r="V116" i="2"/>
  <c r="U116" i="2"/>
  <c r="T116" i="2"/>
  <c r="S116" i="2"/>
  <c r="Q116" i="2"/>
  <c r="P116" i="2"/>
  <c r="N116" i="2"/>
  <c r="M116" i="2"/>
  <c r="AN116" i="2" s="1"/>
  <c r="L116" i="2"/>
  <c r="AM116" i="2" s="1"/>
  <c r="K116" i="2"/>
  <c r="AL116" i="2" s="1"/>
  <c r="J116" i="2"/>
  <c r="AK116" i="2" s="1"/>
  <c r="H116" i="2"/>
  <c r="G116" i="2"/>
  <c r="F116" i="2"/>
  <c r="BK115" i="2"/>
  <c r="BN115" i="2" s="1"/>
  <c r="BJ115" i="2"/>
  <c r="BI115" i="2"/>
  <c r="BH115" i="2"/>
  <c r="BG115" i="2"/>
  <c r="BF115" i="2"/>
  <c r="BE115" i="2"/>
  <c r="BD115" i="2"/>
  <c r="BC115" i="2"/>
  <c r="BB115" i="2"/>
  <c r="BA115" i="2"/>
  <c r="AZ115" i="2"/>
  <c r="AY115" i="2"/>
  <c r="AX115" i="2"/>
  <c r="AW115" i="2"/>
  <c r="AV115" i="2"/>
  <c r="AU115" i="2"/>
  <c r="AT115" i="2"/>
  <c r="AS115" i="2"/>
  <c r="AQ115" i="2"/>
  <c r="AO115" i="2"/>
  <c r="Y115" i="2"/>
  <c r="X115" i="2"/>
  <c r="W115" i="2"/>
  <c r="V115" i="2"/>
  <c r="U115" i="2"/>
  <c r="T115" i="2"/>
  <c r="S115" i="2"/>
  <c r="Q115" i="2"/>
  <c r="R115" i="2" s="1"/>
  <c r="AR115" i="2" s="1"/>
  <c r="P115" i="2"/>
  <c r="AP115" i="2" s="1"/>
  <c r="N115" i="2"/>
  <c r="M115" i="2"/>
  <c r="AN115" i="2" s="1"/>
  <c r="L115" i="2"/>
  <c r="AM115" i="2" s="1"/>
  <c r="K115" i="2"/>
  <c r="AL115" i="2" s="1"/>
  <c r="J115" i="2"/>
  <c r="AK115" i="2" s="1"/>
  <c r="I115" i="2"/>
  <c r="F115" i="2"/>
  <c r="BI114" i="2"/>
  <c r="BC114" i="2"/>
  <c r="BB114" i="2"/>
  <c r="BA114" i="2"/>
  <c r="AZ114" i="2"/>
  <c r="AY114" i="2"/>
  <c r="AX114" i="2"/>
  <c r="AU114" i="2"/>
  <c r="AR114" i="2"/>
  <c r="AO114" i="2"/>
  <c r="AM114" i="2"/>
  <c r="AL114" i="2"/>
  <c r="AK114" i="2"/>
  <c r="W114" i="2"/>
  <c r="V114" i="2"/>
  <c r="U114" i="2"/>
  <c r="T114" i="2"/>
  <c r="AT114" i="2" s="1"/>
  <c r="S114" i="2"/>
  <c r="AS114" i="2" s="1"/>
  <c r="Q114" i="2"/>
  <c r="AQ114" i="2" s="1"/>
  <c r="P114" i="2"/>
  <c r="AP114" i="2" s="1"/>
  <c r="N114" i="2"/>
  <c r="M114" i="2"/>
  <c r="AN114" i="2" s="1"/>
  <c r="L114" i="2"/>
  <c r="K114" i="2"/>
  <c r="J114" i="2"/>
  <c r="F114" i="2"/>
  <c r="BJ113" i="2"/>
  <c r="BI113" i="2"/>
  <c r="BH113" i="2"/>
  <c r="BH114" i="2" s="1"/>
  <c r="BG113" i="2"/>
  <c r="BG114" i="2" s="1"/>
  <c r="BF113" i="2"/>
  <c r="BF114" i="2" s="1"/>
  <c r="BE113" i="2"/>
  <c r="BE114" i="2" s="1"/>
  <c r="BD113" i="2"/>
  <c r="BD114" i="2" s="1"/>
  <c r="BC113" i="2"/>
  <c r="BB113" i="2"/>
  <c r="BA113" i="2"/>
  <c r="AZ113" i="2"/>
  <c r="AY113" i="2"/>
  <c r="AX113" i="2"/>
  <c r="AV113" i="2"/>
  <c r="AV114" i="2" s="1"/>
  <c r="AR113" i="2"/>
  <c r="AP113" i="2"/>
  <c r="AO113" i="2"/>
  <c r="AN113" i="2"/>
  <c r="AM113" i="2"/>
  <c r="AL113" i="2"/>
  <c r="AK113" i="2"/>
  <c r="W113" i="2"/>
  <c r="AW113" i="2" s="1"/>
  <c r="AW114" i="2" s="1"/>
  <c r="V113" i="2"/>
  <c r="U113" i="2"/>
  <c r="AU113" i="2" s="1"/>
  <c r="T113" i="2"/>
  <c r="AT113" i="2" s="1"/>
  <c r="S113" i="2"/>
  <c r="AS113" i="2" s="1"/>
  <c r="Q113" i="2"/>
  <c r="AQ113" i="2" s="1"/>
  <c r="P113" i="2"/>
  <c r="N113" i="2"/>
  <c r="M113" i="2"/>
  <c r="L113" i="2"/>
  <c r="K113" i="2"/>
  <c r="J113" i="2"/>
  <c r="I113" i="2"/>
  <c r="F113" i="2"/>
  <c r="BJ112" i="2"/>
  <c r="BK112" i="2" s="1"/>
  <c r="BO112" i="2" s="1"/>
  <c r="BI112" i="2"/>
  <c r="BH112" i="2"/>
  <c r="BG112" i="2"/>
  <c r="BF112" i="2"/>
  <c r="BE112" i="2"/>
  <c r="BD112" i="2"/>
  <c r="BC112" i="2"/>
  <c r="BB112" i="2"/>
  <c r="BA112" i="2"/>
  <c r="AZ112" i="2"/>
  <c r="AY112" i="2"/>
  <c r="AX112" i="2"/>
  <c r="AR112" i="2"/>
  <c r="AQ112" i="2"/>
  <c r="AP112" i="2"/>
  <c r="AO112" i="2"/>
  <c r="AN112" i="2"/>
  <c r="AM112" i="2"/>
  <c r="AL112" i="2"/>
  <c r="AK112" i="2"/>
  <c r="W112" i="2"/>
  <c r="AW112" i="2" s="1"/>
  <c r="V112" i="2"/>
  <c r="AV112" i="2" s="1"/>
  <c r="U112" i="2"/>
  <c r="AU112" i="2" s="1"/>
  <c r="T112" i="2"/>
  <c r="AT112" i="2" s="1"/>
  <c r="S112" i="2"/>
  <c r="AS112" i="2" s="1"/>
  <c r="Q112" i="2"/>
  <c r="P112" i="2"/>
  <c r="N112" i="2"/>
  <c r="M112" i="2"/>
  <c r="L112" i="2"/>
  <c r="K112" i="2"/>
  <c r="J112" i="2"/>
  <c r="H112" i="2"/>
  <c r="G112" i="2"/>
  <c r="F112" i="2"/>
  <c r="BK111" i="2"/>
  <c r="BN111" i="2" s="1"/>
  <c r="BJ111" i="2"/>
  <c r="BI111" i="2"/>
  <c r="BH111" i="2"/>
  <c r="BG111" i="2"/>
  <c r="BF111" i="2"/>
  <c r="BE111" i="2"/>
  <c r="BD111" i="2"/>
  <c r="BC111" i="2"/>
  <c r="BB111" i="2"/>
  <c r="BA111" i="2"/>
  <c r="AZ111" i="2"/>
  <c r="AV111" i="2"/>
  <c r="AU111" i="2"/>
  <c r="AT111" i="2"/>
  <c r="AS111" i="2"/>
  <c r="AR111" i="2"/>
  <c r="AQ111" i="2"/>
  <c r="AP111" i="2"/>
  <c r="AO111" i="2"/>
  <c r="AN111" i="2"/>
  <c r="AM111" i="2"/>
  <c r="AL111" i="2"/>
  <c r="Y111" i="2"/>
  <c r="AY111" i="2" s="1"/>
  <c r="X111" i="2"/>
  <c r="AX111" i="2" s="1"/>
  <c r="W111" i="2"/>
  <c r="AW111" i="2" s="1"/>
  <c r="V111" i="2"/>
  <c r="U111" i="2"/>
  <c r="T111" i="2"/>
  <c r="S111" i="2"/>
  <c r="Q111" i="2"/>
  <c r="R111" i="2" s="1"/>
  <c r="P111" i="2"/>
  <c r="N111" i="2"/>
  <c r="M111" i="2"/>
  <c r="L111" i="2"/>
  <c r="K111" i="2"/>
  <c r="J111" i="2"/>
  <c r="AK111" i="2" s="1"/>
  <c r="I111" i="2"/>
  <c r="F111" i="2"/>
  <c r="BG110" i="2"/>
  <c r="BC110" i="2"/>
  <c r="BA110" i="2"/>
  <c r="AZ110" i="2"/>
  <c r="AY110" i="2"/>
  <c r="AW110" i="2"/>
  <c r="AV110" i="2"/>
  <c r="AU110" i="2"/>
  <c r="AR110" i="2"/>
  <c r="AQ110" i="2"/>
  <c r="AP110" i="2"/>
  <c r="AO110" i="2"/>
  <c r="AN110" i="2"/>
  <c r="AM110" i="2"/>
  <c r="W110" i="2"/>
  <c r="V110" i="2"/>
  <c r="U110" i="2"/>
  <c r="T110" i="2"/>
  <c r="AT110" i="2" s="1"/>
  <c r="S110" i="2"/>
  <c r="AS110" i="2" s="1"/>
  <c r="Q110" i="2"/>
  <c r="P110" i="2"/>
  <c r="N110" i="2"/>
  <c r="M110" i="2"/>
  <c r="L110" i="2"/>
  <c r="K110" i="2"/>
  <c r="AL110" i="2" s="1"/>
  <c r="J110" i="2"/>
  <c r="AK110" i="2" s="1"/>
  <c r="F110" i="2"/>
  <c r="BJ109" i="2"/>
  <c r="BI109" i="2"/>
  <c r="BI110" i="2" s="1"/>
  <c r="BH109" i="2"/>
  <c r="BH110" i="2" s="1"/>
  <c r="BG109" i="2"/>
  <c r="BF109" i="2"/>
  <c r="BF110" i="2" s="1"/>
  <c r="BE109" i="2"/>
  <c r="BE110" i="2" s="1"/>
  <c r="BD109" i="2"/>
  <c r="BD110" i="2" s="1"/>
  <c r="BC109" i="2"/>
  <c r="BB109" i="2"/>
  <c r="BB110" i="2" s="1"/>
  <c r="BA109" i="2"/>
  <c r="AZ109" i="2"/>
  <c r="AY109" i="2"/>
  <c r="AX109" i="2"/>
  <c r="AX110" i="2" s="1"/>
  <c r="AW109" i="2"/>
  <c r="AV109" i="2"/>
  <c r="AR109" i="2"/>
  <c r="AO109" i="2"/>
  <c r="W109" i="2"/>
  <c r="V109" i="2"/>
  <c r="U109" i="2"/>
  <c r="AU109" i="2" s="1"/>
  <c r="T109" i="2"/>
  <c r="AT109" i="2" s="1"/>
  <c r="S109" i="2"/>
  <c r="AS109" i="2" s="1"/>
  <c r="Q109" i="2"/>
  <c r="AQ109" i="2" s="1"/>
  <c r="P109" i="2"/>
  <c r="AP109" i="2" s="1"/>
  <c r="N109" i="2"/>
  <c r="M109" i="2"/>
  <c r="AN109" i="2" s="1"/>
  <c r="L109" i="2"/>
  <c r="AM109" i="2" s="1"/>
  <c r="K109" i="2"/>
  <c r="AL109" i="2" s="1"/>
  <c r="J109" i="2"/>
  <c r="AK109" i="2" s="1"/>
  <c r="I109" i="2"/>
  <c r="F109" i="2"/>
  <c r="BK108" i="2"/>
  <c r="BO108" i="2" s="1"/>
  <c r="BJ108" i="2"/>
  <c r="BI108" i="2"/>
  <c r="BH108" i="2"/>
  <c r="BG108" i="2"/>
  <c r="BF108" i="2"/>
  <c r="BE108" i="2"/>
  <c r="BD108" i="2"/>
  <c r="BC108" i="2"/>
  <c r="BB108" i="2"/>
  <c r="BA108" i="2"/>
  <c r="AZ108" i="2"/>
  <c r="AY108" i="2"/>
  <c r="AX108" i="2"/>
  <c r="AR108" i="2"/>
  <c r="AO108" i="2"/>
  <c r="AK108" i="2"/>
  <c r="W108" i="2"/>
  <c r="AW108" i="2" s="1"/>
  <c r="V108" i="2"/>
  <c r="AV108" i="2" s="1"/>
  <c r="U108" i="2"/>
  <c r="AU108" i="2" s="1"/>
  <c r="T108" i="2"/>
  <c r="AT108" i="2" s="1"/>
  <c r="S108" i="2"/>
  <c r="AS108" i="2" s="1"/>
  <c r="Q108" i="2"/>
  <c r="AQ108" i="2" s="1"/>
  <c r="P108" i="2"/>
  <c r="AP108" i="2" s="1"/>
  <c r="N108" i="2"/>
  <c r="M108" i="2"/>
  <c r="AN108" i="2" s="1"/>
  <c r="L108" i="2"/>
  <c r="AM108" i="2" s="1"/>
  <c r="K108" i="2"/>
  <c r="AL108" i="2" s="1"/>
  <c r="J108" i="2"/>
  <c r="H108" i="2"/>
  <c r="G108" i="2"/>
  <c r="F108" i="2"/>
  <c r="BJ107" i="2"/>
  <c r="BK107" i="2" s="1"/>
  <c r="BN107" i="2" s="1"/>
  <c r="BI107" i="2"/>
  <c r="BH107" i="2"/>
  <c r="BG107" i="2"/>
  <c r="BF107" i="2"/>
  <c r="BE107" i="2"/>
  <c r="BD107" i="2"/>
  <c r="BC107" i="2"/>
  <c r="BB107" i="2"/>
  <c r="BA107" i="2"/>
  <c r="AZ107" i="2"/>
  <c r="AY107" i="2"/>
  <c r="AV107" i="2"/>
  <c r="AU107" i="2"/>
  <c r="AO107" i="2"/>
  <c r="AN107" i="2"/>
  <c r="AM107" i="2"/>
  <c r="AL107" i="2"/>
  <c r="AK107" i="2"/>
  <c r="Y107" i="2"/>
  <c r="X107" i="2"/>
  <c r="AX107" i="2" s="1"/>
  <c r="W107" i="2"/>
  <c r="AW107" i="2" s="1"/>
  <c r="V107" i="2"/>
  <c r="U107" i="2"/>
  <c r="T107" i="2"/>
  <c r="AT107" i="2" s="1"/>
  <c r="S107" i="2"/>
  <c r="AS107" i="2" s="1"/>
  <c r="Q107" i="2"/>
  <c r="AQ107" i="2" s="1"/>
  <c r="P107" i="2"/>
  <c r="AP107" i="2" s="1"/>
  <c r="N107" i="2"/>
  <c r="M107" i="2"/>
  <c r="L107" i="2"/>
  <c r="K107" i="2"/>
  <c r="J107" i="2"/>
  <c r="I107" i="2"/>
  <c r="F107" i="2"/>
  <c r="BJ106" i="2"/>
  <c r="BI106" i="2"/>
  <c r="BH106" i="2"/>
  <c r="BG106" i="2"/>
  <c r="BF106" i="2"/>
  <c r="BE106" i="2"/>
  <c r="AZ106" i="2"/>
  <c r="AY106" i="2"/>
  <c r="AR106" i="2"/>
  <c r="AP106" i="2"/>
  <c r="AO106" i="2"/>
  <c r="AN106" i="2"/>
  <c r="AL106" i="2"/>
  <c r="W106" i="2"/>
  <c r="V106" i="2"/>
  <c r="AV106" i="2" s="1"/>
  <c r="U106" i="2"/>
  <c r="AU106" i="2" s="1"/>
  <c r="T106" i="2"/>
  <c r="AT106" i="2" s="1"/>
  <c r="S106" i="2"/>
  <c r="AS106" i="2" s="1"/>
  <c r="Q106" i="2"/>
  <c r="AQ106" i="2" s="1"/>
  <c r="P106" i="2"/>
  <c r="N106" i="2"/>
  <c r="M106" i="2"/>
  <c r="L106" i="2"/>
  <c r="AM106" i="2" s="1"/>
  <c r="K106" i="2"/>
  <c r="J106" i="2"/>
  <c r="AK106" i="2" s="1"/>
  <c r="F106" i="2"/>
  <c r="BJ105" i="2"/>
  <c r="BK105" i="2" s="1"/>
  <c r="BI105" i="2"/>
  <c r="BH105" i="2"/>
  <c r="BG105" i="2"/>
  <c r="BF105" i="2"/>
  <c r="BE105" i="2"/>
  <c r="BD105" i="2"/>
  <c r="BD106" i="2" s="1"/>
  <c r="BC105" i="2"/>
  <c r="BC106" i="2" s="1"/>
  <c r="BB105" i="2"/>
  <c r="BB106" i="2" s="1"/>
  <c r="BA105" i="2"/>
  <c r="BA106" i="2" s="1"/>
  <c r="AZ105" i="2"/>
  <c r="AY105" i="2"/>
  <c r="AX105" i="2"/>
  <c r="AX106" i="2" s="1"/>
  <c r="AW105" i="2"/>
  <c r="AS105" i="2"/>
  <c r="AR105" i="2"/>
  <c r="AQ105" i="2"/>
  <c r="AP105" i="2"/>
  <c r="AO105" i="2"/>
  <c r="AN105" i="2"/>
  <c r="AL105" i="2"/>
  <c r="AK105" i="2"/>
  <c r="W105" i="2"/>
  <c r="V105" i="2"/>
  <c r="AV105" i="2" s="1"/>
  <c r="U105" i="2"/>
  <c r="AU105" i="2" s="1"/>
  <c r="T105" i="2"/>
  <c r="AT105" i="2" s="1"/>
  <c r="S105" i="2"/>
  <c r="Q105" i="2"/>
  <c r="P105" i="2"/>
  <c r="N105" i="2"/>
  <c r="M105" i="2"/>
  <c r="L105" i="2"/>
  <c r="AM105" i="2" s="1"/>
  <c r="K105" i="2"/>
  <c r="J105" i="2"/>
  <c r="I105" i="2"/>
  <c r="F105" i="2"/>
  <c r="BJ104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R104" i="2"/>
  <c r="AQ104" i="2"/>
  <c r="AO104" i="2"/>
  <c r="AM104" i="2"/>
  <c r="AL104" i="2"/>
  <c r="AK104" i="2"/>
  <c r="W104" i="2"/>
  <c r="V104" i="2"/>
  <c r="U104" i="2"/>
  <c r="T104" i="2"/>
  <c r="S104" i="2"/>
  <c r="AS104" i="2" s="1"/>
  <c r="Q104" i="2"/>
  <c r="P104" i="2"/>
  <c r="AP104" i="2" s="1"/>
  <c r="N104" i="2"/>
  <c r="M104" i="2"/>
  <c r="AN104" i="2" s="1"/>
  <c r="L104" i="2"/>
  <c r="K104" i="2"/>
  <c r="J104" i="2"/>
  <c r="H104" i="2"/>
  <c r="G104" i="2"/>
  <c r="F104" i="2"/>
  <c r="BJ103" i="2"/>
  <c r="BK103" i="2" s="1"/>
  <c r="BN103" i="2" s="1"/>
  <c r="BI103" i="2"/>
  <c r="BH103" i="2"/>
  <c r="BG103" i="2"/>
  <c r="BF103" i="2"/>
  <c r="BE103" i="2"/>
  <c r="BD103" i="2"/>
  <c r="BC103" i="2"/>
  <c r="BB103" i="2"/>
  <c r="BA103" i="2"/>
  <c r="AZ103" i="2"/>
  <c r="AY103" i="2"/>
  <c r="AW103" i="2"/>
  <c r="AR103" i="2"/>
  <c r="AQ103" i="2"/>
  <c r="AP103" i="2"/>
  <c r="AO103" i="2"/>
  <c r="AN103" i="2"/>
  <c r="AM103" i="2"/>
  <c r="Y103" i="2"/>
  <c r="X103" i="2"/>
  <c r="AX103" i="2" s="1"/>
  <c r="W103" i="2"/>
  <c r="V103" i="2"/>
  <c r="AV103" i="2" s="1"/>
  <c r="U103" i="2"/>
  <c r="AU103" i="2" s="1"/>
  <c r="T103" i="2"/>
  <c r="AT103" i="2" s="1"/>
  <c r="S103" i="2"/>
  <c r="AS103" i="2" s="1"/>
  <c r="R103" i="2"/>
  <c r="Q103" i="2"/>
  <c r="P103" i="2"/>
  <c r="N103" i="2"/>
  <c r="M103" i="2"/>
  <c r="L103" i="2"/>
  <c r="K103" i="2"/>
  <c r="AL103" i="2" s="1"/>
  <c r="J103" i="2"/>
  <c r="AK103" i="2" s="1"/>
  <c r="I103" i="2"/>
  <c r="F103" i="2"/>
  <c r="BJ102" i="2"/>
  <c r="BK102" i="2" s="1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T102" i="2"/>
  <c r="AS102" i="2"/>
  <c r="AR102" i="2"/>
  <c r="AO102" i="2"/>
  <c r="AN102" i="2"/>
  <c r="AL102" i="2"/>
  <c r="AK102" i="2"/>
  <c r="W102" i="2"/>
  <c r="AW102" i="2" s="1"/>
  <c r="V102" i="2"/>
  <c r="AV102" i="2" s="1"/>
  <c r="U102" i="2"/>
  <c r="AU102" i="2" s="1"/>
  <c r="T102" i="2"/>
  <c r="S102" i="2"/>
  <c r="Q102" i="2"/>
  <c r="AQ102" i="2" s="1"/>
  <c r="P102" i="2"/>
  <c r="AP102" i="2" s="1"/>
  <c r="N102" i="2"/>
  <c r="M102" i="2"/>
  <c r="L102" i="2"/>
  <c r="AM102" i="2" s="1"/>
  <c r="K102" i="2"/>
  <c r="J102" i="2"/>
  <c r="I102" i="2"/>
  <c r="F102" i="2"/>
  <c r="BJ101" i="2"/>
  <c r="BI101" i="2"/>
  <c r="BK101" i="2" s="1"/>
  <c r="BO101" i="2" s="1"/>
  <c r="BH101" i="2"/>
  <c r="BG101" i="2"/>
  <c r="BF101" i="2"/>
  <c r="BE101" i="2"/>
  <c r="BD101" i="2"/>
  <c r="BC101" i="2"/>
  <c r="BB101" i="2"/>
  <c r="BA101" i="2"/>
  <c r="AZ101" i="2"/>
  <c r="AY101" i="2"/>
  <c r="AX101" i="2"/>
  <c r="AR101" i="2"/>
  <c r="AO101" i="2"/>
  <c r="AN101" i="2"/>
  <c r="AM101" i="2"/>
  <c r="AL101" i="2"/>
  <c r="AK101" i="2"/>
  <c r="W101" i="2"/>
  <c r="AW101" i="2" s="1"/>
  <c r="V101" i="2"/>
  <c r="AV101" i="2" s="1"/>
  <c r="U101" i="2"/>
  <c r="AU101" i="2" s="1"/>
  <c r="T101" i="2"/>
  <c r="AT101" i="2" s="1"/>
  <c r="S101" i="2"/>
  <c r="AS101" i="2" s="1"/>
  <c r="Q101" i="2"/>
  <c r="AQ101" i="2" s="1"/>
  <c r="P101" i="2"/>
  <c r="AP101" i="2" s="1"/>
  <c r="N101" i="2"/>
  <c r="M101" i="2"/>
  <c r="L101" i="2"/>
  <c r="K101" i="2"/>
  <c r="J101" i="2"/>
  <c r="H101" i="2"/>
  <c r="G101" i="2"/>
  <c r="F101" i="2"/>
  <c r="BI100" i="2"/>
  <c r="BK100" i="2" s="1"/>
  <c r="BN100" i="2" s="1"/>
  <c r="BH100" i="2"/>
  <c r="BG100" i="2"/>
  <c r="BF100" i="2"/>
  <c r="BE100" i="2"/>
  <c r="BD100" i="2"/>
  <c r="BC100" i="2"/>
  <c r="BB100" i="2"/>
  <c r="BA100" i="2"/>
  <c r="AZ100" i="2"/>
  <c r="AQ100" i="2"/>
  <c r="AP100" i="2"/>
  <c r="AO100" i="2"/>
  <c r="AN100" i="2"/>
  <c r="AM100" i="2"/>
  <c r="AL100" i="2"/>
  <c r="AK100" i="2"/>
  <c r="Y100" i="2"/>
  <c r="AY100" i="2" s="1"/>
  <c r="X100" i="2"/>
  <c r="AX100" i="2" s="1"/>
  <c r="W100" i="2"/>
  <c r="AW100" i="2" s="1"/>
  <c r="V100" i="2"/>
  <c r="AV100" i="2" s="1"/>
  <c r="U100" i="2"/>
  <c r="AU100" i="2" s="1"/>
  <c r="T100" i="2"/>
  <c r="AT100" i="2" s="1"/>
  <c r="S100" i="2"/>
  <c r="AS100" i="2" s="1"/>
  <c r="R100" i="2"/>
  <c r="AR100" i="2" s="1"/>
  <c r="Q100" i="2"/>
  <c r="P100" i="2"/>
  <c r="N100" i="2"/>
  <c r="M100" i="2"/>
  <c r="L100" i="2"/>
  <c r="K100" i="2"/>
  <c r="J100" i="2"/>
  <c r="I100" i="2"/>
  <c r="F100" i="2"/>
  <c r="BJ99" i="2"/>
  <c r="BK99" i="2" s="1"/>
  <c r="BM99" i="2" s="1"/>
  <c r="BI99" i="2"/>
  <c r="BH99" i="2"/>
  <c r="BG99" i="2"/>
  <c r="BF99" i="2"/>
  <c r="BE99" i="2"/>
  <c r="BD99" i="2"/>
  <c r="BC99" i="2"/>
  <c r="BB99" i="2"/>
  <c r="BA99" i="2"/>
  <c r="AZ99" i="2"/>
  <c r="AY99" i="2"/>
  <c r="AX99" i="2"/>
  <c r="AT99" i="2"/>
  <c r="AS99" i="2"/>
  <c r="AR99" i="2"/>
  <c r="AQ99" i="2"/>
  <c r="AP99" i="2"/>
  <c r="AO99" i="2"/>
  <c r="AN99" i="2"/>
  <c r="AM99" i="2"/>
  <c r="AL99" i="2"/>
  <c r="AK99" i="2"/>
  <c r="W99" i="2"/>
  <c r="AW99" i="2" s="1"/>
  <c r="V99" i="2"/>
  <c r="AV99" i="2" s="1"/>
  <c r="U99" i="2"/>
  <c r="AU99" i="2" s="1"/>
  <c r="T99" i="2"/>
  <c r="S99" i="2"/>
  <c r="Q99" i="2"/>
  <c r="P99" i="2"/>
  <c r="N99" i="2"/>
  <c r="M99" i="2"/>
  <c r="L99" i="2"/>
  <c r="K99" i="2"/>
  <c r="J99" i="2"/>
  <c r="I99" i="2"/>
  <c r="F99" i="2"/>
  <c r="BJ98" i="2"/>
  <c r="BK98" i="2" s="1"/>
  <c r="BO98" i="2" s="1"/>
  <c r="BI98" i="2"/>
  <c r="BH98" i="2"/>
  <c r="BG98" i="2"/>
  <c r="BF98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W98" i="2"/>
  <c r="V98" i="2"/>
  <c r="U98" i="2"/>
  <c r="T98" i="2"/>
  <c r="S98" i="2"/>
  <c r="Q98" i="2"/>
  <c r="P98" i="2"/>
  <c r="N98" i="2"/>
  <c r="M98" i="2"/>
  <c r="L98" i="2"/>
  <c r="K98" i="2"/>
  <c r="J98" i="2"/>
  <c r="H98" i="2"/>
  <c r="G98" i="2"/>
  <c r="F98" i="2"/>
  <c r="BJ97" i="2"/>
  <c r="BK97" i="2" s="1"/>
  <c r="BN97" i="2" s="1"/>
  <c r="BI97" i="2"/>
  <c r="BH97" i="2"/>
  <c r="BG97" i="2"/>
  <c r="BF97" i="2"/>
  <c r="BE97" i="2"/>
  <c r="BD97" i="2"/>
  <c r="BC97" i="2"/>
  <c r="BB97" i="2"/>
  <c r="BA97" i="2"/>
  <c r="AZ97" i="2"/>
  <c r="AX97" i="2"/>
  <c r="AU97" i="2"/>
  <c r="AT97" i="2"/>
  <c r="AS97" i="2"/>
  <c r="AR97" i="2"/>
  <c r="AQ97" i="2"/>
  <c r="AP97" i="2"/>
  <c r="AO97" i="2"/>
  <c r="AN97" i="2"/>
  <c r="Y97" i="2"/>
  <c r="AY97" i="2" s="1"/>
  <c r="X97" i="2"/>
  <c r="W97" i="2"/>
  <c r="AW97" i="2" s="1"/>
  <c r="V97" i="2"/>
  <c r="AV97" i="2" s="1"/>
  <c r="U97" i="2"/>
  <c r="T97" i="2"/>
  <c r="S97" i="2"/>
  <c r="R97" i="2"/>
  <c r="Q97" i="2"/>
  <c r="P97" i="2"/>
  <c r="N97" i="2"/>
  <c r="M97" i="2"/>
  <c r="L97" i="2"/>
  <c r="AM97" i="2" s="1"/>
  <c r="K97" i="2"/>
  <c r="AL97" i="2" s="1"/>
  <c r="J97" i="2"/>
  <c r="AK97" i="2" s="1"/>
  <c r="I97" i="2"/>
  <c r="F97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S96" i="2"/>
  <c r="AR96" i="2"/>
  <c r="AO96" i="2"/>
  <c r="AM96" i="2"/>
  <c r="AL96" i="2"/>
  <c r="AK96" i="2"/>
  <c r="W96" i="2"/>
  <c r="AW96" i="2" s="1"/>
  <c r="V96" i="2"/>
  <c r="AV96" i="2" s="1"/>
  <c r="U96" i="2"/>
  <c r="AU96" i="2" s="1"/>
  <c r="T96" i="2"/>
  <c r="AT96" i="2" s="1"/>
  <c r="S96" i="2"/>
  <c r="Q96" i="2"/>
  <c r="AQ96" i="2" s="1"/>
  <c r="P96" i="2"/>
  <c r="AP96" i="2" s="1"/>
  <c r="N96" i="2"/>
  <c r="M96" i="2"/>
  <c r="AN96" i="2" s="1"/>
  <c r="L96" i="2"/>
  <c r="K96" i="2"/>
  <c r="J96" i="2"/>
  <c r="I96" i="2"/>
  <c r="F96" i="2"/>
  <c r="BJ95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AR95" i="2"/>
  <c r="AO95" i="2"/>
  <c r="AN95" i="2"/>
  <c r="AM95" i="2"/>
  <c r="AL95" i="2"/>
  <c r="AK95" i="2"/>
  <c r="W95" i="2"/>
  <c r="AW95" i="2" s="1"/>
  <c r="V95" i="2"/>
  <c r="AV95" i="2" s="1"/>
  <c r="U95" i="2"/>
  <c r="AU95" i="2" s="1"/>
  <c r="T95" i="2"/>
  <c r="AT95" i="2" s="1"/>
  <c r="S95" i="2"/>
  <c r="AS95" i="2" s="1"/>
  <c r="Q95" i="2"/>
  <c r="AQ95" i="2" s="1"/>
  <c r="P95" i="2"/>
  <c r="AP95" i="2" s="1"/>
  <c r="N95" i="2"/>
  <c r="M95" i="2"/>
  <c r="L95" i="2"/>
  <c r="K95" i="2"/>
  <c r="J95" i="2"/>
  <c r="H95" i="2"/>
  <c r="G95" i="2"/>
  <c r="F95" i="2"/>
  <c r="BJ94" i="2"/>
  <c r="BK94" i="2" s="1"/>
  <c r="BN94" i="2" s="1"/>
  <c r="BI94" i="2"/>
  <c r="BH94" i="2"/>
  <c r="BG94" i="2"/>
  <c r="BF94" i="2"/>
  <c r="BE94" i="2"/>
  <c r="BD94" i="2"/>
  <c r="BC94" i="2"/>
  <c r="BB94" i="2"/>
  <c r="BA94" i="2"/>
  <c r="AZ94" i="2"/>
  <c r="AS94" i="2"/>
  <c r="AR94" i="2"/>
  <c r="AQ94" i="2"/>
  <c r="AP94" i="2"/>
  <c r="AO94" i="2"/>
  <c r="AN94" i="2"/>
  <c r="AM94" i="2"/>
  <c r="AL94" i="2"/>
  <c r="AK94" i="2"/>
  <c r="Y94" i="2"/>
  <c r="AY94" i="2" s="1"/>
  <c r="X94" i="2"/>
  <c r="AX94" i="2" s="1"/>
  <c r="W94" i="2"/>
  <c r="AW94" i="2" s="1"/>
  <c r="V94" i="2"/>
  <c r="AV94" i="2" s="1"/>
  <c r="U94" i="2"/>
  <c r="AU94" i="2" s="1"/>
  <c r="T94" i="2"/>
  <c r="AT94" i="2" s="1"/>
  <c r="S94" i="2"/>
  <c r="Q94" i="2"/>
  <c r="R94" i="2" s="1"/>
  <c r="P94" i="2"/>
  <c r="N94" i="2"/>
  <c r="M94" i="2"/>
  <c r="L94" i="2"/>
  <c r="K94" i="2"/>
  <c r="J94" i="2"/>
  <c r="I94" i="2"/>
  <c r="F94" i="2"/>
  <c r="BJ93" i="2"/>
  <c r="BK93" i="2" s="1"/>
  <c r="BI93" i="2"/>
  <c r="BH93" i="2"/>
  <c r="BG93" i="2"/>
  <c r="BF93" i="2"/>
  <c r="BE93" i="2"/>
  <c r="BD93" i="2"/>
  <c r="BC93" i="2"/>
  <c r="BB93" i="2"/>
  <c r="BA93" i="2"/>
  <c r="AZ93" i="2"/>
  <c r="AY93" i="2"/>
  <c r="AX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W93" i="2"/>
  <c r="AW93" i="2" s="1"/>
  <c r="V93" i="2"/>
  <c r="U93" i="2"/>
  <c r="T93" i="2"/>
  <c r="S93" i="2"/>
  <c r="Q93" i="2"/>
  <c r="P93" i="2"/>
  <c r="N93" i="2"/>
  <c r="M93" i="2"/>
  <c r="L93" i="2"/>
  <c r="K93" i="2"/>
  <c r="J93" i="2"/>
  <c r="I93" i="2"/>
  <c r="F93" i="2"/>
  <c r="BJ92" i="2"/>
  <c r="BK92" i="2" s="1"/>
  <c r="BO92" i="2" s="1"/>
  <c r="BI92" i="2"/>
  <c r="BH92" i="2"/>
  <c r="BG92" i="2"/>
  <c r="BF92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W92" i="2"/>
  <c r="V92" i="2"/>
  <c r="U92" i="2"/>
  <c r="T92" i="2"/>
  <c r="S92" i="2"/>
  <c r="Q92" i="2"/>
  <c r="P92" i="2"/>
  <c r="N92" i="2"/>
  <c r="M92" i="2"/>
  <c r="L92" i="2"/>
  <c r="K92" i="2"/>
  <c r="J92" i="2"/>
  <c r="H92" i="2"/>
  <c r="G92" i="2"/>
  <c r="F92" i="2"/>
  <c r="BJ91" i="2"/>
  <c r="BK91" i="2" s="1"/>
  <c r="BN91" i="2" s="1"/>
  <c r="BI91" i="2"/>
  <c r="BH91" i="2"/>
  <c r="BG91" i="2"/>
  <c r="BF91" i="2"/>
  <c r="BE91" i="2"/>
  <c r="BD91" i="2"/>
  <c r="BC91" i="2"/>
  <c r="BB91" i="2"/>
  <c r="BA91" i="2"/>
  <c r="AZ91" i="2"/>
  <c r="AY91" i="2"/>
  <c r="AX91" i="2"/>
  <c r="AW91" i="2"/>
  <c r="AS91" i="2"/>
  <c r="AQ91" i="2"/>
  <c r="AP91" i="2"/>
  <c r="AO91" i="2"/>
  <c r="AN91" i="2"/>
  <c r="Y91" i="2"/>
  <c r="X91" i="2"/>
  <c r="W91" i="2"/>
  <c r="V91" i="2"/>
  <c r="AV91" i="2" s="1"/>
  <c r="U91" i="2"/>
  <c r="AU91" i="2" s="1"/>
  <c r="T91" i="2"/>
  <c r="AT91" i="2" s="1"/>
  <c r="S91" i="2"/>
  <c r="Q91" i="2"/>
  <c r="R91" i="2" s="1"/>
  <c r="AR91" i="2" s="1"/>
  <c r="P91" i="2"/>
  <c r="N91" i="2"/>
  <c r="M91" i="2"/>
  <c r="L91" i="2"/>
  <c r="AM91" i="2" s="1"/>
  <c r="K91" i="2"/>
  <c r="AL91" i="2" s="1"/>
  <c r="J91" i="2"/>
  <c r="AK91" i="2" s="1"/>
  <c r="I91" i="2"/>
  <c r="F91" i="2"/>
  <c r="BJ90" i="2"/>
  <c r="BI90" i="2"/>
  <c r="BK90" i="2" s="1"/>
  <c r="BM90" i="2" s="1"/>
  <c r="BH90" i="2"/>
  <c r="BG90" i="2"/>
  <c r="BF90" i="2"/>
  <c r="BE90" i="2"/>
  <c r="BD90" i="2"/>
  <c r="BC90" i="2"/>
  <c r="BB90" i="2"/>
  <c r="BA90" i="2"/>
  <c r="AZ90" i="2"/>
  <c r="AY90" i="2"/>
  <c r="AX90" i="2"/>
  <c r="AR90" i="2"/>
  <c r="AO90" i="2"/>
  <c r="AL90" i="2"/>
  <c r="AK90" i="2"/>
  <c r="W90" i="2"/>
  <c r="AW90" i="2" s="1"/>
  <c r="V90" i="2"/>
  <c r="AV90" i="2" s="1"/>
  <c r="U90" i="2"/>
  <c r="AU90" i="2" s="1"/>
  <c r="T90" i="2"/>
  <c r="AT90" i="2" s="1"/>
  <c r="S90" i="2"/>
  <c r="AS90" i="2" s="1"/>
  <c r="Q90" i="2"/>
  <c r="AQ90" i="2" s="1"/>
  <c r="P90" i="2"/>
  <c r="AP90" i="2" s="1"/>
  <c r="N90" i="2"/>
  <c r="M90" i="2"/>
  <c r="AN90" i="2" s="1"/>
  <c r="L90" i="2"/>
  <c r="AM90" i="2" s="1"/>
  <c r="K90" i="2"/>
  <c r="J90" i="2"/>
  <c r="I90" i="2"/>
  <c r="F90" i="2"/>
  <c r="BJ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R89" i="2"/>
  <c r="AO89" i="2"/>
  <c r="AM89" i="2"/>
  <c r="AL89" i="2"/>
  <c r="AK89" i="2"/>
  <c r="W89" i="2"/>
  <c r="AW89" i="2" s="1"/>
  <c r="V89" i="2"/>
  <c r="AV89" i="2" s="1"/>
  <c r="U89" i="2"/>
  <c r="AU89" i="2" s="1"/>
  <c r="T89" i="2"/>
  <c r="AT89" i="2" s="1"/>
  <c r="S89" i="2"/>
  <c r="AS89" i="2" s="1"/>
  <c r="Q89" i="2"/>
  <c r="AQ89" i="2" s="1"/>
  <c r="P89" i="2"/>
  <c r="AP89" i="2" s="1"/>
  <c r="N89" i="2"/>
  <c r="M89" i="2"/>
  <c r="AN89" i="2" s="1"/>
  <c r="L89" i="2"/>
  <c r="K89" i="2"/>
  <c r="J89" i="2"/>
  <c r="H89" i="2"/>
  <c r="G89" i="2"/>
  <c r="F89" i="2"/>
  <c r="BJ88" i="2"/>
  <c r="BK88" i="2" s="1"/>
  <c r="BN88" i="2" s="1"/>
  <c r="BI88" i="2"/>
  <c r="BH88" i="2"/>
  <c r="BG88" i="2"/>
  <c r="BF88" i="2"/>
  <c r="BE88" i="2"/>
  <c r="BD88" i="2"/>
  <c r="BC88" i="2"/>
  <c r="BB88" i="2"/>
  <c r="BA88" i="2"/>
  <c r="AZ88" i="2"/>
  <c r="AY88" i="2"/>
  <c r="AS88" i="2"/>
  <c r="AR88" i="2"/>
  <c r="AQ88" i="2"/>
  <c r="AP88" i="2"/>
  <c r="AO88" i="2"/>
  <c r="AN88" i="2"/>
  <c r="AK88" i="2"/>
  <c r="Y88" i="2"/>
  <c r="X88" i="2"/>
  <c r="AX88" i="2" s="1"/>
  <c r="W88" i="2"/>
  <c r="AW88" i="2" s="1"/>
  <c r="V88" i="2"/>
  <c r="AV88" i="2" s="1"/>
  <c r="U88" i="2"/>
  <c r="AU88" i="2" s="1"/>
  <c r="T88" i="2"/>
  <c r="AT88" i="2" s="1"/>
  <c r="S88" i="2"/>
  <c r="R88" i="2"/>
  <c r="Q88" i="2"/>
  <c r="P88" i="2"/>
  <c r="N88" i="2"/>
  <c r="M88" i="2"/>
  <c r="L88" i="2"/>
  <c r="AM88" i="2" s="1"/>
  <c r="K88" i="2"/>
  <c r="AL88" i="2" s="1"/>
  <c r="J88" i="2"/>
  <c r="I88" i="2"/>
  <c r="F88" i="2"/>
  <c r="BJ87" i="2"/>
  <c r="BK87" i="2" s="1"/>
  <c r="BM87" i="2" s="1"/>
  <c r="BI87" i="2"/>
  <c r="BH87" i="2"/>
  <c r="BG87" i="2"/>
  <c r="BF8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M87" i="2"/>
  <c r="AL87" i="2"/>
  <c r="AK87" i="2"/>
  <c r="W87" i="2"/>
  <c r="V87" i="2"/>
  <c r="U87" i="2"/>
  <c r="T87" i="2"/>
  <c r="S87" i="2"/>
  <c r="Q87" i="2"/>
  <c r="P87" i="2"/>
  <c r="N87" i="2"/>
  <c r="M87" i="2"/>
  <c r="AN87" i="2" s="1"/>
  <c r="L87" i="2"/>
  <c r="K87" i="2"/>
  <c r="J87" i="2"/>
  <c r="I87" i="2"/>
  <c r="F87" i="2"/>
  <c r="BJ86" i="2"/>
  <c r="BK86" i="2" s="1"/>
  <c r="BO86" i="2" s="1"/>
  <c r="BI86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R86" i="2"/>
  <c r="AO86" i="2"/>
  <c r="AN86" i="2"/>
  <c r="AM86" i="2"/>
  <c r="W86" i="2"/>
  <c r="V86" i="2"/>
  <c r="U86" i="2"/>
  <c r="T86" i="2"/>
  <c r="S86" i="2"/>
  <c r="AS86" i="2" s="1"/>
  <c r="Q86" i="2"/>
  <c r="AQ86" i="2" s="1"/>
  <c r="P86" i="2"/>
  <c r="AP86" i="2" s="1"/>
  <c r="N86" i="2"/>
  <c r="M86" i="2"/>
  <c r="L86" i="2"/>
  <c r="K86" i="2"/>
  <c r="AL86" i="2" s="1"/>
  <c r="J86" i="2"/>
  <c r="AK86" i="2" s="1"/>
  <c r="H86" i="2"/>
  <c r="G86" i="2"/>
  <c r="F86" i="2"/>
  <c r="BJ85" i="2"/>
  <c r="BK85" i="2" s="1"/>
  <c r="BI85" i="2"/>
  <c r="BH85" i="2"/>
  <c r="BG85" i="2"/>
  <c r="BF85" i="2"/>
  <c r="BE85" i="2"/>
  <c r="BD85" i="2"/>
  <c r="BC85" i="2"/>
  <c r="BB85" i="2"/>
  <c r="BA85" i="2"/>
  <c r="AZ85" i="2"/>
  <c r="AY85" i="2"/>
  <c r="AP85" i="2"/>
  <c r="AO85" i="2"/>
  <c r="Y85" i="2"/>
  <c r="X85" i="2"/>
  <c r="AX85" i="2" s="1"/>
  <c r="W85" i="2"/>
  <c r="AW85" i="2" s="1"/>
  <c r="V85" i="2"/>
  <c r="AV85" i="2" s="1"/>
  <c r="U85" i="2"/>
  <c r="AU85" i="2" s="1"/>
  <c r="T85" i="2"/>
  <c r="AT85" i="2" s="1"/>
  <c r="S85" i="2"/>
  <c r="AS85" i="2" s="1"/>
  <c r="Q85" i="2"/>
  <c r="P85" i="2"/>
  <c r="N85" i="2"/>
  <c r="M85" i="2"/>
  <c r="AN85" i="2" s="1"/>
  <c r="L85" i="2"/>
  <c r="AM85" i="2" s="1"/>
  <c r="K85" i="2"/>
  <c r="AL85" i="2" s="1"/>
  <c r="J85" i="2"/>
  <c r="AK85" i="2" s="1"/>
  <c r="I85" i="2"/>
  <c r="F85" i="2"/>
  <c r="BK84" i="2"/>
  <c r="BM84" i="2" s="1"/>
  <c r="BH84" i="2"/>
  <c r="BG84" i="2"/>
  <c r="BF84" i="2"/>
  <c r="BE84" i="2"/>
  <c r="BD84" i="2"/>
  <c r="BC84" i="2"/>
  <c r="BB84" i="2"/>
  <c r="BA84" i="2"/>
  <c r="AZ84" i="2"/>
  <c r="AY84" i="2"/>
  <c r="AX84" i="2"/>
  <c r="AR84" i="2"/>
  <c r="AO84" i="2"/>
  <c r="AK84" i="2"/>
  <c r="W84" i="2"/>
  <c r="AW84" i="2" s="1"/>
  <c r="V84" i="2"/>
  <c r="AV84" i="2" s="1"/>
  <c r="U84" i="2"/>
  <c r="AU84" i="2" s="1"/>
  <c r="T84" i="2"/>
  <c r="AT84" i="2" s="1"/>
  <c r="S84" i="2"/>
  <c r="AS84" i="2" s="1"/>
  <c r="Q84" i="2"/>
  <c r="AQ84" i="2" s="1"/>
  <c r="P84" i="2"/>
  <c r="AP84" i="2" s="1"/>
  <c r="N84" i="2"/>
  <c r="M84" i="2"/>
  <c r="AN84" i="2" s="1"/>
  <c r="L84" i="2"/>
  <c r="AM84" i="2" s="1"/>
  <c r="K84" i="2"/>
  <c r="AL84" i="2" s="1"/>
  <c r="J84" i="2"/>
  <c r="I84" i="2"/>
  <c r="F84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R83" i="2"/>
  <c r="AO83" i="2"/>
  <c r="AM83" i="2"/>
  <c r="AL83" i="2"/>
  <c r="AK83" i="2"/>
  <c r="W83" i="2"/>
  <c r="V83" i="2"/>
  <c r="U83" i="2"/>
  <c r="AU83" i="2" s="1"/>
  <c r="T83" i="2"/>
  <c r="AT83" i="2" s="1"/>
  <c r="S83" i="2"/>
  <c r="AS83" i="2" s="1"/>
  <c r="Q83" i="2"/>
  <c r="AQ83" i="2" s="1"/>
  <c r="P83" i="2"/>
  <c r="AP83" i="2" s="1"/>
  <c r="N83" i="2"/>
  <c r="M83" i="2"/>
  <c r="AN83" i="2" s="1"/>
  <c r="L83" i="2"/>
  <c r="K83" i="2"/>
  <c r="J83" i="2"/>
  <c r="H83" i="2"/>
  <c r="G83" i="2"/>
  <c r="F83" i="2"/>
  <c r="BJ82" i="2"/>
  <c r="BK82" i="2" s="1"/>
  <c r="BN82" i="2" s="1"/>
  <c r="BI82" i="2"/>
  <c r="BH82" i="2"/>
  <c r="BG82" i="2"/>
  <c r="BF82" i="2"/>
  <c r="BE82" i="2"/>
  <c r="BD82" i="2"/>
  <c r="BC82" i="2"/>
  <c r="BB82" i="2"/>
  <c r="BA82" i="2"/>
  <c r="AZ82" i="2"/>
  <c r="AY82" i="2"/>
  <c r="AS82" i="2"/>
  <c r="AR82" i="2"/>
  <c r="AQ82" i="2"/>
  <c r="AP82" i="2"/>
  <c r="AO82" i="2"/>
  <c r="AN82" i="2"/>
  <c r="AM82" i="2"/>
  <c r="Y82" i="2"/>
  <c r="X82" i="2"/>
  <c r="AX82" i="2" s="1"/>
  <c r="W82" i="2"/>
  <c r="AW82" i="2" s="1"/>
  <c r="V82" i="2"/>
  <c r="AV82" i="2" s="1"/>
  <c r="U82" i="2"/>
  <c r="AU82" i="2" s="1"/>
  <c r="T82" i="2"/>
  <c r="AT82" i="2" s="1"/>
  <c r="S82" i="2"/>
  <c r="R82" i="2"/>
  <c r="Q82" i="2"/>
  <c r="P82" i="2"/>
  <c r="N82" i="2"/>
  <c r="M82" i="2"/>
  <c r="L82" i="2"/>
  <c r="K82" i="2"/>
  <c r="AL82" i="2" s="1"/>
  <c r="J82" i="2"/>
  <c r="AK82" i="2" s="1"/>
  <c r="I82" i="2"/>
  <c r="F82" i="2"/>
  <c r="BM81" i="2"/>
  <c r="BJ81" i="2"/>
  <c r="BK81" i="2" s="1"/>
  <c r="BI81" i="2"/>
  <c r="BH81" i="2"/>
  <c r="BG81" i="2"/>
  <c r="BF81" i="2"/>
  <c r="BE81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W81" i="2"/>
  <c r="V81" i="2"/>
  <c r="U81" i="2"/>
  <c r="T81" i="2"/>
  <c r="S81" i="2"/>
  <c r="Q81" i="2"/>
  <c r="P81" i="2"/>
  <c r="N81" i="2"/>
  <c r="M81" i="2"/>
  <c r="AN81" i="2" s="1"/>
  <c r="L81" i="2"/>
  <c r="AM81" i="2" s="1"/>
  <c r="K81" i="2"/>
  <c r="AL81" i="2" s="1"/>
  <c r="J81" i="2"/>
  <c r="AK81" i="2" s="1"/>
  <c r="I81" i="2"/>
  <c r="F81" i="2"/>
  <c r="BJ80" i="2"/>
  <c r="BK80" i="2" s="1"/>
  <c r="BO80" i="2" s="1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R80" i="2"/>
  <c r="AO80" i="2"/>
  <c r="W80" i="2"/>
  <c r="V80" i="2"/>
  <c r="U80" i="2"/>
  <c r="T80" i="2"/>
  <c r="S80" i="2"/>
  <c r="AS80" i="2" s="1"/>
  <c r="Q80" i="2"/>
  <c r="AQ80" i="2" s="1"/>
  <c r="P80" i="2"/>
  <c r="AP80" i="2" s="1"/>
  <c r="N80" i="2"/>
  <c r="M80" i="2"/>
  <c r="AN80" i="2" s="1"/>
  <c r="L80" i="2"/>
  <c r="AM80" i="2" s="1"/>
  <c r="K80" i="2"/>
  <c r="AL80" i="2" s="1"/>
  <c r="J80" i="2"/>
  <c r="AK80" i="2" s="1"/>
  <c r="H80" i="2"/>
  <c r="G80" i="2"/>
  <c r="F80" i="2"/>
  <c r="BJ79" i="2"/>
  <c r="BK79" i="2" s="1"/>
  <c r="BN79" i="2" s="1"/>
  <c r="BI79" i="2"/>
  <c r="BH79" i="2"/>
  <c r="BG79" i="2"/>
  <c r="BF79" i="2"/>
  <c r="BE79" i="2"/>
  <c r="BD79" i="2"/>
  <c r="BC79" i="2"/>
  <c r="BB79" i="2"/>
  <c r="BA79" i="2"/>
  <c r="AZ79" i="2"/>
  <c r="AY79" i="2"/>
  <c r="AX79" i="2"/>
  <c r="AW79" i="2"/>
  <c r="AV79" i="2"/>
  <c r="AO79" i="2"/>
  <c r="Y79" i="2"/>
  <c r="X79" i="2"/>
  <c r="W79" i="2"/>
  <c r="V79" i="2"/>
  <c r="U79" i="2"/>
  <c r="AU79" i="2" s="1"/>
  <c r="T79" i="2"/>
  <c r="AT79" i="2" s="1"/>
  <c r="S79" i="2"/>
  <c r="AS79" i="2" s="1"/>
  <c r="Q79" i="2"/>
  <c r="R79" i="2" s="1"/>
  <c r="AR79" i="2" s="1"/>
  <c r="P79" i="2"/>
  <c r="AP79" i="2" s="1"/>
  <c r="N79" i="2"/>
  <c r="M79" i="2"/>
  <c r="AN79" i="2" s="1"/>
  <c r="L79" i="2"/>
  <c r="AM79" i="2" s="1"/>
  <c r="K79" i="2"/>
  <c r="AL79" i="2" s="1"/>
  <c r="J79" i="2"/>
  <c r="AK79" i="2" s="1"/>
  <c r="I79" i="2"/>
  <c r="F79" i="2"/>
  <c r="BJ78" i="2"/>
  <c r="BI78" i="2"/>
  <c r="BK78" i="2" s="1"/>
  <c r="BM78" i="2" s="1"/>
  <c r="BH78" i="2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R78" i="2"/>
  <c r="AO78" i="2"/>
  <c r="AL78" i="2"/>
  <c r="AK78" i="2"/>
  <c r="W78" i="2"/>
  <c r="V78" i="2"/>
  <c r="U78" i="2"/>
  <c r="T78" i="2"/>
  <c r="AT78" i="2" s="1"/>
  <c r="S78" i="2"/>
  <c r="AS78" i="2" s="1"/>
  <c r="Q78" i="2"/>
  <c r="AQ78" i="2" s="1"/>
  <c r="P78" i="2"/>
  <c r="AP78" i="2" s="1"/>
  <c r="N78" i="2"/>
  <c r="M78" i="2"/>
  <c r="AN78" i="2" s="1"/>
  <c r="L78" i="2"/>
  <c r="AM78" i="2" s="1"/>
  <c r="K78" i="2"/>
  <c r="J78" i="2"/>
  <c r="I78" i="2"/>
  <c r="F78" i="2"/>
  <c r="BJ77" i="2"/>
  <c r="BK77" i="2" s="1"/>
  <c r="BO77" i="2" s="1"/>
  <c r="BI77" i="2"/>
  <c r="BH77" i="2"/>
  <c r="BG77" i="2"/>
  <c r="BF77" i="2"/>
  <c r="BE77" i="2"/>
  <c r="BD77" i="2"/>
  <c r="BC77" i="2"/>
  <c r="BB77" i="2"/>
  <c r="BA77" i="2"/>
  <c r="AZ77" i="2"/>
  <c r="AY77" i="2"/>
  <c r="AX77" i="2"/>
  <c r="AR77" i="2"/>
  <c r="AQ77" i="2"/>
  <c r="AP77" i="2"/>
  <c r="AO77" i="2"/>
  <c r="AN77" i="2"/>
  <c r="AM77" i="2"/>
  <c r="AL77" i="2"/>
  <c r="AK77" i="2"/>
  <c r="W77" i="2"/>
  <c r="AW77" i="2" s="1"/>
  <c r="V77" i="2"/>
  <c r="AV77" i="2" s="1"/>
  <c r="U77" i="2"/>
  <c r="AU77" i="2" s="1"/>
  <c r="T77" i="2"/>
  <c r="AT77" i="2" s="1"/>
  <c r="S77" i="2"/>
  <c r="AS77" i="2" s="1"/>
  <c r="Q77" i="2"/>
  <c r="P77" i="2"/>
  <c r="N77" i="2"/>
  <c r="M77" i="2"/>
  <c r="L77" i="2"/>
  <c r="K77" i="2"/>
  <c r="J77" i="2"/>
  <c r="H77" i="2"/>
  <c r="G77" i="2"/>
  <c r="F77" i="2"/>
  <c r="BJ76" i="2"/>
  <c r="BK76" i="2" s="1"/>
  <c r="BN76" i="2" s="1"/>
  <c r="BI76" i="2"/>
  <c r="BH76" i="2"/>
  <c r="BG76" i="2"/>
  <c r="BF76" i="2"/>
  <c r="BE76" i="2"/>
  <c r="BD76" i="2"/>
  <c r="BC76" i="2"/>
  <c r="BB76" i="2"/>
  <c r="BA76" i="2"/>
  <c r="AZ76" i="2"/>
  <c r="AU76" i="2"/>
  <c r="AT76" i="2"/>
  <c r="AS76" i="2"/>
  <c r="AR76" i="2"/>
  <c r="AQ76" i="2"/>
  <c r="AP76" i="2"/>
  <c r="AO76" i="2"/>
  <c r="AN76" i="2"/>
  <c r="AM76" i="2"/>
  <c r="AL76" i="2"/>
  <c r="Y76" i="2"/>
  <c r="AY76" i="2" s="1"/>
  <c r="X76" i="2"/>
  <c r="AX76" i="2" s="1"/>
  <c r="W76" i="2"/>
  <c r="AW76" i="2" s="1"/>
  <c r="V76" i="2"/>
  <c r="AV76" i="2" s="1"/>
  <c r="U76" i="2"/>
  <c r="T76" i="2"/>
  <c r="S76" i="2"/>
  <c r="R76" i="2"/>
  <c r="Q76" i="2"/>
  <c r="P76" i="2"/>
  <c r="N76" i="2"/>
  <c r="M76" i="2"/>
  <c r="L76" i="2"/>
  <c r="K76" i="2"/>
  <c r="J76" i="2"/>
  <c r="AK76" i="2" s="1"/>
  <c r="I76" i="2"/>
  <c r="F76" i="2"/>
  <c r="BK75" i="2"/>
  <c r="BM75" i="2" s="1"/>
  <c r="BH75" i="2"/>
  <c r="BG75" i="2"/>
  <c r="BF75" i="2"/>
  <c r="BE75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W75" i="2"/>
  <c r="V75" i="2"/>
  <c r="U75" i="2"/>
  <c r="T75" i="2"/>
  <c r="S75" i="2"/>
  <c r="Q75" i="2"/>
  <c r="P75" i="2"/>
  <c r="N75" i="2"/>
  <c r="M75" i="2"/>
  <c r="AN75" i="2" s="1"/>
  <c r="L75" i="2"/>
  <c r="AM75" i="2" s="1"/>
  <c r="K75" i="2"/>
  <c r="AL75" i="2" s="1"/>
  <c r="J75" i="2"/>
  <c r="AK75" i="2" s="1"/>
  <c r="I75" i="2"/>
  <c r="F75" i="2"/>
  <c r="BJ74" i="2"/>
  <c r="BK74" i="2" s="1"/>
  <c r="BO74" i="2" s="1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O74" i="2"/>
  <c r="W74" i="2"/>
  <c r="V74" i="2"/>
  <c r="U74" i="2"/>
  <c r="T74" i="2"/>
  <c r="S74" i="2"/>
  <c r="Q74" i="2"/>
  <c r="AQ74" i="2" s="1"/>
  <c r="P74" i="2"/>
  <c r="AP74" i="2" s="1"/>
  <c r="N74" i="2"/>
  <c r="M74" i="2"/>
  <c r="AN74" i="2" s="1"/>
  <c r="L74" i="2"/>
  <c r="AM74" i="2" s="1"/>
  <c r="K74" i="2"/>
  <c r="AL74" i="2" s="1"/>
  <c r="J74" i="2"/>
  <c r="AK74" i="2" s="1"/>
  <c r="H74" i="2"/>
  <c r="G74" i="2"/>
  <c r="F74" i="2"/>
  <c r="BJ73" i="2"/>
  <c r="BK73" i="2" s="1"/>
  <c r="BN73" i="2" s="1"/>
  <c r="BI73" i="2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O73" i="2"/>
  <c r="Y73" i="2"/>
  <c r="X73" i="2"/>
  <c r="W73" i="2"/>
  <c r="V73" i="2"/>
  <c r="U73" i="2"/>
  <c r="T73" i="2"/>
  <c r="S73" i="2"/>
  <c r="Q73" i="2"/>
  <c r="AQ73" i="2" s="1"/>
  <c r="P73" i="2"/>
  <c r="AP73" i="2" s="1"/>
  <c r="N73" i="2"/>
  <c r="M73" i="2"/>
  <c r="AN73" i="2" s="1"/>
  <c r="L73" i="2"/>
  <c r="AM73" i="2" s="1"/>
  <c r="K73" i="2"/>
  <c r="AL73" i="2" s="1"/>
  <c r="J73" i="2"/>
  <c r="AK73" i="2" s="1"/>
  <c r="I73" i="2"/>
  <c r="F73" i="2"/>
  <c r="BJ72" i="2"/>
  <c r="BI72" i="2"/>
  <c r="BK72" i="2" s="1"/>
  <c r="BM72" i="2" s="1"/>
  <c r="BH72" i="2"/>
  <c r="BG72" i="2"/>
  <c r="BF72" i="2"/>
  <c r="BE72" i="2"/>
  <c r="BD72" i="2"/>
  <c r="BC72" i="2"/>
  <c r="BB72" i="2"/>
  <c r="BA72" i="2"/>
  <c r="AZ72" i="2"/>
  <c r="AY72" i="2"/>
  <c r="AX72" i="2"/>
  <c r="AW72" i="2"/>
  <c r="AV72" i="2"/>
  <c r="AU72" i="2"/>
  <c r="AR72" i="2"/>
  <c r="AO72" i="2"/>
  <c r="AN72" i="2"/>
  <c r="AL72" i="2"/>
  <c r="AK72" i="2"/>
  <c r="W72" i="2"/>
  <c r="V72" i="2"/>
  <c r="U72" i="2"/>
  <c r="T72" i="2"/>
  <c r="AT72" i="2" s="1"/>
  <c r="S72" i="2"/>
  <c r="AS72" i="2" s="1"/>
  <c r="Q72" i="2"/>
  <c r="AQ72" i="2" s="1"/>
  <c r="P72" i="2"/>
  <c r="AP72" i="2" s="1"/>
  <c r="N72" i="2"/>
  <c r="M72" i="2"/>
  <c r="L72" i="2"/>
  <c r="AM72" i="2" s="1"/>
  <c r="K72" i="2"/>
  <c r="J72" i="2"/>
  <c r="I72" i="2"/>
  <c r="F72" i="2"/>
  <c r="BJ71" i="2"/>
  <c r="BK71" i="2" s="1"/>
  <c r="BO71" i="2" s="1"/>
  <c r="BI71" i="2"/>
  <c r="BH71" i="2"/>
  <c r="BG71" i="2"/>
  <c r="BF71" i="2"/>
  <c r="BE71" i="2"/>
  <c r="BD71" i="2"/>
  <c r="BC71" i="2"/>
  <c r="BB71" i="2"/>
  <c r="BA71" i="2"/>
  <c r="AZ71" i="2"/>
  <c r="AY71" i="2"/>
  <c r="AX71" i="2"/>
  <c r="AR71" i="2"/>
  <c r="AQ71" i="2"/>
  <c r="AP71" i="2"/>
  <c r="AO71" i="2"/>
  <c r="AN71" i="2"/>
  <c r="AM71" i="2"/>
  <c r="AL71" i="2"/>
  <c r="AK71" i="2"/>
  <c r="W71" i="2"/>
  <c r="AW71" i="2" s="1"/>
  <c r="V71" i="2"/>
  <c r="AV71" i="2" s="1"/>
  <c r="U71" i="2"/>
  <c r="AU71" i="2" s="1"/>
  <c r="T71" i="2"/>
  <c r="AT71" i="2" s="1"/>
  <c r="S71" i="2"/>
  <c r="AS71" i="2" s="1"/>
  <c r="Q71" i="2"/>
  <c r="P71" i="2"/>
  <c r="N71" i="2"/>
  <c r="M71" i="2"/>
  <c r="L71" i="2"/>
  <c r="K71" i="2"/>
  <c r="J71" i="2"/>
  <c r="H71" i="2"/>
  <c r="G71" i="2"/>
  <c r="F71" i="2"/>
  <c r="BJ70" i="2"/>
  <c r="BK70" i="2" s="1"/>
  <c r="BN70" i="2" s="1"/>
  <c r="BI70" i="2"/>
  <c r="BH70" i="2"/>
  <c r="BG70" i="2"/>
  <c r="BF70" i="2"/>
  <c r="BE70" i="2"/>
  <c r="BD70" i="2"/>
  <c r="BC70" i="2"/>
  <c r="BB70" i="2"/>
  <c r="BA70" i="2"/>
  <c r="AZ70" i="2"/>
  <c r="AU70" i="2"/>
  <c r="AT70" i="2"/>
  <c r="AS70" i="2"/>
  <c r="AR70" i="2"/>
  <c r="AQ70" i="2"/>
  <c r="AP70" i="2"/>
  <c r="AO70" i="2"/>
  <c r="AN70" i="2"/>
  <c r="AM70" i="2"/>
  <c r="AL70" i="2"/>
  <c r="AK70" i="2"/>
  <c r="Y70" i="2"/>
  <c r="AY70" i="2" s="1"/>
  <c r="X70" i="2"/>
  <c r="AX70" i="2" s="1"/>
  <c r="W70" i="2"/>
  <c r="AW70" i="2" s="1"/>
  <c r="V70" i="2"/>
  <c r="AV70" i="2" s="1"/>
  <c r="U70" i="2"/>
  <c r="T70" i="2"/>
  <c r="S70" i="2"/>
  <c r="R70" i="2"/>
  <c r="Q70" i="2"/>
  <c r="P70" i="2"/>
  <c r="N70" i="2"/>
  <c r="M70" i="2"/>
  <c r="L70" i="2"/>
  <c r="K70" i="2"/>
  <c r="J70" i="2"/>
  <c r="I70" i="2"/>
  <c r="F70" i="2"/>
  <c r="BK69" i="2"/>
  <c r="BM69" i="2" s="1"/>
  <c r="BH69" i="2"/>
  <c r="BG69" i="2"/>
  <c r="BF69" i="2"/>
  <c r="BE69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W69" i="2"/>
  <c r="V69" i="2"/>
  <c r="U69" i="2"/>
  <c r="T69" i="2"/>
  <c r="S69" i="2"/>
  <c r="Q69" i="2"/>
  <c r="P69" i="2"/>
  <c r="N69" i="2"/>
  <c r="M69" i="2"/>
  <c r="L69" i="2"/>
  <c r="K69" i="2"/>
  <c r="J69" i="2"/>
  <c r="AK69" i="2" s="1"/>
  <c r="I69" i="2"/>
  <c r="F69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W68" i="2"/>
  <c r="V68" i="2"/>
  <c r="U68" i="2"/>
  <c r="T68" i="2"/>
  <c r="S68" i="2"/>
  <c r="Q68" i="2"/>
  <c r="P68" i="2"/>
  <c r="N68" i="2"/>
  <c r="M68" i="2"/>
  <c r="AN68" i="2" s="1"/>
  <c r="L68" i="2"/>
  <c r="AM68" i="2" s="1"/>
  <c r="K68" i="2"/>
  <c r="AL68" i="2" s="1"/>
  <c r="J68" i="2"/>
  <c r="AK68" i="2" s="1"/>
  <c r="H68" i="2"/>
  <c r="G68" i="2"/>
  <c r="F68" i="2"/>
  <c r="BJ67" i="2"/>
  <c r="BK67" i="2" s="1"/>
  <c r="BN67" i="2" s="1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Q67" i="2"/>
  <c r="AP67" i="2"/>
  <c r="AO67" i="2"/>
  <c r="Y67" i="2"/>
  <c r="X67" i="2"/>
  <c r="W67" i="2"/>
  <c r="V67" i="2"/>
  <c r="U67" i="2"/>
  <c r="T67" i="2"/>
  <c r="S67" i="2"/>
  <c r="Q67" i="2"/>
  <c r="R67" i="2" s="1"/>
  <c r="AR67" i="2" s="1"/>
  <c r="P67" i="2"/>
  <c r="N67" i="2"/>
  <c r="M67" i="2"/>
  <c r="AN67" i="2" s="1"/>
  <c r="L67" i="2"/>
  <c r="AM67" i="2" s="1"/>
  <c r="K67" i="2"/>
  <c r="AL67" i="2" s="1"/>
  <c r="J67" i="2"/>
  <c r="AK67" i="2" s="1"/>
  <c r="I67" i="2"/>
  <c r="F67" i="2"/>
  <c r="BJ66" i="2"/>
  <c r="BI66" i="2"/>
  <c r="BK66" i="2" s="1"/>
  <c r="BH66" i="2"/>
  <c r="BG66" i="2"/>
  <c r="BF66" i="2"/>
  <c r="BE66" i="2"/>
  <c r="BD66" i="2"/>
  <c r="BC66" i="2"/>
  <c r="BB66" i="2"/>
  <c r="BA66" i="2"/>
  <c r="AZ66" i="2"/>
  <c r="AY66" i="2"/>
  <c r="AX66" i="2"/>
  <c r="AW66" i="2"/>
  <c r="AV66" i="2"/>
  <c r="AU66" i="2"/>
  <c r="AR66" i="2"/>
  <c r="AO66" i="2"/>
  <c r="AN66" i="2"/>
  <c r="AM66" i="2"/>
  <c r="AL66" i="2"/>
  <c r="AK66" i="2"/>
  <c r="W66" i="2"/>
  <c r="V66" i="2"/>
  <c r="U66" i="2"/>
  <c r="T66" i="2"/>
  <c r="AT66" i="2" s="1"/>
  <c r="S66" i="2"/>
  <c r="AS66" i="2" s="1"/>
  <c r="Q66" i="2"/>
  <c r="AQ66" i="2" s="1"/>
  <c r="P66" i="2"/>
  <c r="AP66" i="2" s="1"/>
  <c r="N66" i="2"/>
  <c r="M66" i="2"/>
  <c r="L66" i="2"/>
  <c r="K66" i="2"/>
  <c r="J66" i="2"/>
  <c r="I66" i="2"/>
  <c r="F66" i="2"/>
  <c r="BJ65" i="2"/>
  <c r="BK65" i="2" s="1"/>
  <c r="BO65" i="2" s="1"/>
  <c r="BI65" i="2"/>
  <c r="BH65" i="2"/>
  <c r="BG65" i="2"/>
  <c r="BF65" i="2"/>
  <c r="BE65" i="2"/>
  <c r="BD65" i="2"/>
  <c r="BC65" i="2"/>
  <c r="BB65" i="2"/>
  <c r="BA65" i="2"/>
  <c r="AZ65" i="2"/>
  <c r="AY65" i="2"/>
  <c r="AX65" i="2"/>
  <c r="AR65" i="2"/>
  <c r="AQ65" i="2"/>
  <c r="AP65" i="2"/>
  <c r="AO65" i="2"/>
  <c r="AN65" i="2"/>
  <c r="AM65" i="2"/>
  <c r="AL65" i="2"/>
  <c r="AK65" i="2"/>
  <c r="W65" i="2"/>
  <c r="AW65" i="2" s="1"/>
  <c r="V65" i="2"/>
  <c r="AV65" i="2" s="1"/>
  <c r="U65" i="2"/>
  <c r="AU65" i="2" s="1"/>
  <c r="T65" i="2"/>
  <c r="AT65" i="2" s="1"/>
  <c r="S65" i="2"/>
  <c r="AS65" i="2" s="1"/>
  <c r="Q65" i="2"/>
  <c r="P65" i="2"/>
  <c r="N65" i="2"/>
  <c r="M65" i="2"/>
  <c r="L65" i="2"/>
  <c r="K65" i="2"/>
  <c r="J65" i="2"/>
  <c r="H65" i="2"/>
  <c r="G65" i="2"/>
  <c r="F65" i="2"/>
  <c r="BJ64" i="2"/>
  <c r="BK64" i="2" s="1"/>
  <c r="BN64" i="2" s="1"/>
  <c r="BI64" i="2"/>
  <c r="BH64" i="2"/>
  <c r="BG64" i="2"/>
  <c r="BF64" i="2"/>
  <c r="BE64" i="2"/>
  <c r="BD64" i="2"/>
  <c r="BC64" i="2"/>
  <c r="BB64" i="2"/>
  <c r="BA64" i="2"/>
  <c r="AZ64" i="2"/>
  <c r="AU64" i="2"/>
  <c r="AT64" i="2"/>
  <c r="AS64" i="2"/>
  <c r="AR64" i="2"/>
  <c r="AQ64" i="2"/>
  <c r="AP64" i="2"/>
  <c r="AO64" i="2"/>
  <c r="AN64" i="2"/>
  <c r="AM64" i="2"/>
  <c r="AL64" i="2"/>
  <c r="AK64" i="2"/>
  <c r="Y64" i="2"/>
  <c r="AY64" i="2" s="1"/>
  <c r="X64" i="2"/>
  <c r="AX64" i="2" s="1"/>
  <c r="W64" i="2"/>
  <c r="AW64" i="2" s="1"/>
  <c r="V64" i="2"/>
  <c r="AV64" i="2" s="1"/>
  <c r="U64" i="2"/>
  <c r="T64" i="2"/>
  <c r="S64" i="2"/>
  <c r="R64" i="2"/>
  <c r="Q64" i="2"/>
  <c r="P64" i="2"/>
  <c r="N64" i="2"/>
  <c r="M64" i="2"/>
  <c r="L64" i="2"/>
  <c r="K64" i="2"/>
  <c r="J64" i="2"/>
  <c r="I64" i="2"/>
  <c r="F64" i="2"/>
  <c r="BJ63" i="2"/>
  <c r="BK63" i="2" s="1"/>
  <c r="BM63" i="2" s="1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W63" i="2"/>
  <c r="V63" i="2"/>
  <c r="U63" i="2"/>
  <c r="T63" i="2"/>
  <c r="S63" i="2"/>
  <c r="Q63" i="2"/>
  <c r="P63" i="2"/>
  <c r="N63" i="2"/>
  <c r="M63" i="2"/>
  <c r="L63" i="2"/>
  <c r="K63" i="2"/>
  <c r="AL63" i="2" s="1"/>
  <c r="J63" i="2"/>
  <c r="AK63" i="2" s="1"/>
  <c r="I63" i="2"/>
  <c r="F63" i="2"/>
  <c r="BJ62" i="2"/>
  <c r="BK62" i="2" s="1"/>
  <c r="BO62" i="2" s="1"/>
  <c r="BI62" i="2"/>
  <c r="BH62" i="2"/>
  <c r="BG62" i="2"/>
  <c r="BF62" i="2"/>
  <c r="BE62" i="2"/>
  <c r="BD62" i="2"/>
  <c r="BC62" i="2"/>
  <c r="BB62" i="2"/>
  <c r="BA62" i="2"/>
  <c r="AZ62" i="2"/>
  <c r="AY62" i="2"/>
  <c r="AX62" i="2"/>
  <c r="AW62" i="2"/>
  <c r="AU62" i="2"/>
  <c r="AT62" i="2"/>
  <c r="AS62" i="2"/>
  <c r="AR62" i="2"/>
  <c r="AQ62" i="2"/>
  <c r="AP62" i="2"/>
  <c r="AO62" i="2"/>
  <c r="W62" i="2"/>
  <c r="V62" i="2"/>
  <c r="AV62" i="2" s="1"/>
  <c r="U62" i="2"/>
  <c r="T62" i="2"/>
  <c r="S62" i="2"/>
  <c r="Q62" i="2"/>
  <c r="P62" i="2"/>
  <c r="N62" i="2"/>
  <c r="M62" i="2"/>
  <c r="AN62" i="2" s="1"/>
  <c r="L62" i="2"/>
  <c r="AM62" i="2" s="1"/>
  <c r="K62" i="2"/>
  <c r="AL62" i="2" s="1"/>
  <c r="J62" i="2"/>
  <c r="AK62" i="2" s="1"/>
  <c r="H62" i="2"/>
  <c r="G62" i="2"/>
  <c r="F62" i="2"/>
  <c r="BJ61" i="2"/>
  <c r="BI61" i="2"/>
  <c r="BK61" i="2" s="1"/>
  <c r="BN61" i="2" s="1"/>
  <c r="BH61" i="2"/>
  <c r="BG61" i="2"/>
  <c r="BF61" i="2"/>
  <c r="BE61" i="2"/>
  <c r="BD61" i="2"/>
  <c r="BC61" i="2"/>
  <c r="BB61" i="2"/>
  <c r="BA61" i="2"/>
  <c r="AZ61" i="2"/>
  <c r="AT61" i="2"/>
  <c r="AS61" i="2"/>
  <c r="AO61" i="2"/>
  <c r="AM61" i="2"/>
  <c r="AL61" i="2"/>
  <c r="AK61" i="2"/>
  <c r="Y61" i="2"/>
  <c r="AY61" i="2" s="1"/>
  <c r="X61" i="2"/>
  <c r="AX61" i="2" s="1"/>
  <c r="W61" i="2"/>
  <c r="AW61" i="2" s="1"/>
  <c r="V61" i="2"/>
  <c r="AV61" i="2" s="1"/>
  <c r="U61" i="2"/>
  <c r="AU61" i="2" s="1"/>
  <c r="T61" i="2"/>
  <c r="S61" i="2"/>
  <c r="Q61" i="2"/>
  <c r="AQ61" i="2" s="1"/>
  <c r="P61" i="2"/>
  <c r="AP61" i="2" s="1"/>
  <c r="N61" i="2"/>
  <c r="M61" i="2"/>
  <c r="AN61" i="2" s="1"/>
  <c r="L61" i="2"/>
  <c r="K61" i="2"/>
  <c r="J61" i="2"/>
  <c r="I61" i="2"/>
  <c r="F61" i="2"/>
  <c r="BJ60" i="2"/>
  <c r="BK60" i="2" s="1"/>
  <c r="BI60" i="2"/>
  <c r="BH60" i="2"/>
  <c r="BG60" i="2"/>
  <c r="BF60" i="2"/>
  <c r="BE60" i="2"/>
  <c r="BD60" i="2"/>
  <c r="BC60" i="2"/>
  <c r="BB60" i="2"/>
  <c r="BA60" i="2"/>
  <c r="AZ60" i="2"/>
  <c r="AY60" i="2"/>
  <c r="AX60" i="2"/>
  <c r="AR60" i="2"/>
  <c r="AP60" i="2"/>
  <c r="AO60" i="2"/>
  <c r="AN60" i="2"/>
  <c r="AM60" i="2"/>
  <c r="AL60" i="2"/>
  <c r="AK60" i="2"/>
  <c r="W60" i="2"/>
  <c r="AW60" i="2" s="1"/>
  <c r="V60" i="2"/>
  <c r="AV60" i="2" s="1"/>
  <c r="U60" i="2"/>
  <c r="AU60" i="2" s="1"/>
  <c r="T60" i="2"/>
  <c r="AT60" i="2" s="1"/>
  <c r="S60" i="2"/>
  <c r="AS60" i="2" s="1"/>
  <c r="Q60" i="2"/>
  <c r="AQ60" i="2" s="1"/>
  <c r="P60" i="2"/>
  <c r="N60" i="2"/>
  <c r="M60" i="2"/>
  <c r="L60" i="2"/>
  <c r="K60" i="2"/>
  <c r="J60" i="2"/>
  <c r="I60" i="2"/>
  <c r="F60" i="2"/>
  <c r="BJ59" i="2"/>
  <c r="BK59" i="2" s="1"/>
  <c r="BO59" i="2" s="1"/>
  <c r="BI59" i="2"/>
  <c r="BH59" i="2"/>
  <c r="BG59" i="2"/>
  <c r="BF59" i="2"/>
  <c r="BE59" i="2"/>
  <c r="BD59" i="2"/>
  <c r="BC59" i="2"/>
  <c r="BB59" i="2"/>
  <c r="BA59" i="2"/>
  <c r="AZ59" i="2"/>
  <c r="AY59" i="2"/>
  <c r="AX59" i="2"/>
  <c r="AS59" i="2"/>
  <c r="AR59" i="2"/>
  <c r="AQ59" i="2"/>
  <c r="AP59" i="2"/>
  <c r="AO59" i="2"/>
  <c r="AN59" i="2"/>
  <c r="AM59" i="2"/>
  <c r="AL59" i="2"/>
  <c r="AK59" i="2"/>
  <c r="W59" i="2"/>
  <c r="AW59" i="2" s="1"/>
  <c r="V59" i="2"/>
  <c r="AV59" i="2" s="1"/>
  <c r="U59" i="2"/>
  <c r="AU59" i="2" s="1"/>
  <c r="T59" i="2"/>
  <c r="AT59" i="2" s="1"/>
  <c r="S59" i="2"/>
  <c r="Q59" i="2"/>
  <c r="P59" i="2"/>
  <c r="N59" i="2"/>
  <c r="M59" i="2"/>
  <c r="L59" i="2"/>
  <c r="K59" i="2"/>
  <c r="J59" i="2"/>
  <c r="H59" i="2"/>
  <c r="G59" i="2"/>
  <c r="F59" i="2"/>
  <c r="BJ58" i="2"/>
  <c r="BK58" i="2" s="1"/>
  <c r="BN58" i="2" s="1"/>
  <c r="BI58" i="2"/>
  <c r="BH58" i="2"/>
  <c r="BG58" i="2"/>
  <c r="BF58" i="2"/>
  <c r="BE58" i="2"/>
  <c r="BD58" i="2"/>
  <c r="BC58" i="2"/>
  <c r="BB58" i="2"/>
  <c r="BA58" i="2"/>
  <c r="AZ58" i="2"/>
  <c r="AX58" i="2"/>
  <c r="AW58" i="2"/>
  <c r="AV58" i="2"/>
  <c r="AU58" i="2"/>
  <c r="AT58" i="2"/>
  <c r="AS58" i="2"/>
  <c r="AQ58" i="2"/>
  <c r="AP58" i="2"/>
  <c r="AO58" i="2"/>
  <c r="AN58" i="2"/>
  <c r="AM58" i="2"/>
  <c r="AL58" i="2"/>
  <c r="AK58" i="2"/>
  <c r="Y58" i="2"/>
  <c r="AY58" i="2" s="1"/>
  <c r="X58" i="2"/>
  <c r="W58" i="2"/>
  <c r="V58" i="2"/>
  <c r="U58" i="2"/>
  <c r="T58" i="2"/>
  <c r="S58" i="2"/>
  <c r="Q58" i="2"/>
  <c r="R58" i="2" s="1"/>
  <c r="AR58" i="2" s="1"/>
  <c r="P58" i="2"/>
  <c r="N58" i="2"/>
  <c r="M58" i="2"/>
  <c r="L58" i="2"/>
  <c r="K58" i="2"/>
  <c r="J58" i="2"/>
  <c r="I58" i="2"/>
  <c r="F58" i="2"/>
  <c r="BJ57" i="2"/>
  <c r="BK57" i="2" s="1"/>
  <c r="BM57" i="2" s="1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T57" i="2"/>
  <c r="AS57" i="2"/>
  <c r="AR57" i="2"/>
  <c r="AQ57" i="2"/>
  <c r="AP57" i="2"/>
  <c r="AO57" i="2"/>
  <c r="W57" i="2"/>
  <c r="V57" i="2"/>
  <c r="U57" i="2"/>
  <c r="AU57" i="2" s="1"/>
  <c r="T57" i="2"/>
  <c r="S57" i="2"/>
  <c r="Q57" i="2"/>
  <c r="P57" i="2"/>
  <c r="N57" i="2"/>
  <c r="M57" i="2"/>
  <c r="AN57" i="2" s="1"/>
  <c r="L57" i="2"/>
  <c r="AM57" i="2" s="1"/>
  <c r="K57" i="2"/>
  <c r="AL57" i="2" s="1"/>
  <c r="J57" i="2"/>
  <c r="AK57" i="2" s="1"/>
  <c r="I57" i="2"/>
  <c r="F57" i="2"/>
  <c r="BJ56" i="2"/>
  <c r="BK56" i="2" s="1"/>
  <c r="BO56" i="2" s="1"/>
  <c r="BI56" i="2"/>
  <c r="BH56" i="2"/>
  <c r="BG56" i="2"/>
  <c r="BF56" i="2"/>
  <c r="BE56" i="2"/>
  <c r="BD56" i="2"/>
  <c r="BC56" i="2"/>
  <c r="BB56" i="2"/>
  <c r="BA56" i="2"/>
  <c r="AZ56" i="2"/>
  <c r="AY56" i="2"/>
  <c r="AX56" i="2"/>
  <c r="AR56" i="2"/>
  <c r="AO56" i="2"/>
  <c r="AK56" i="2"/>
  <c r="W56" i="2"/>
  <c r="AW56" i="2" s="1"/>
  <c r="V56" i="2"/>
  <c r="AV56" i="2" s="1"/>
  <c r="U56" i="2"/>
  <c r="AU56" i="2" s="1"/>
  <c r="T56" i="2"/>
  <c r="AT56" i="2" s="1"/>
  <c r="S56" i="2"/>
  <c r="AS56" i="2" s="1"/>
  <c r="Q56" i="2"/>
  <c r="AQ56" i="2" s="1"/>
  <c r="P56" i="2"/>
  <c r="AP56" i="2" s="1"/>
  <c r="N56" i="2"/>
  <c r="M56" i="2"/>
  <c r="AN56" i="2" s="1"/>
  <c r="L56" i="2"/>
  <c r="AM56" i="2" s="1"/>
  <c r="K56" i="2"/>
  <c r="AL56" i="2" s="1"/>
  <c r="J56" i="2"/>
  <c r="H56" i="2"/>
  <c r="G56" i="2"/>
  <c r="F56" i="2"/>
  <c r="BJ55" i="2"/>
  <c r="BI55" i="2"/>
  <c r="BK55" i="2" s="1"/>
  <c r="BN55" i="2" s="1"/>
  <c r="BH55" i="2"/>
  <c r="BG55" i="2"/>
  <c r="BF55" i="2"/>
  <c r="BE55" i="2"/>
  <c r="BD55" i="2"/>
  <c r="BC55" i="2"/>
  <c r="BB55" i="2"/>
  <c r="BA55" i="2"/>
  <c r="AZ55" i="2"/>
  <c r="AO55" i="2"/>
  <c r="AN55" i="2"/>
  <c r="AM55" i="2"/>
  <c r="AL55" i="2"/>
  <c r="AK55" i="2"/>
  <c r="Y55" i="2"/>
  <c r="AY55" i="2" s="1"/>
  <c r="X55" i="2"/>
  <c r="AX55" i="2" s="1"/>
  <c r="W55" i="2"/>
  <c r="AW55" i="2" s="1"/>
  <c r="V55" i="2"/>
  <c r="AV55" i="2" s="1"/>
  <c r="U55" i="2"/>
  <c r="AU55" i="2" s="1"/>
  <c r="T55" i="2"/>
  <c r="AT55" i="2" s="1"/>
  <c r="S55" i="2"/>
  <c r="AS55" i="2" s="1"/>
  <c r="Q55" i="2"/>
  <c r="P55" i="2"/>
  <c r="AP55" i="2" s="1"/>
  <c r="N55" i="2"/>
  <c r="M55" i="2"/>
  <c r="L55" i="2"/>
  <c r="K55" i="2"/>
  <c r="J55" i="2"/>
  <c r="I55" i="2"/>
  <c r="F55" i="2"/>
  <c r="BJ54" i="2"/>
  <c r="BK54" i="2" s="1"/>
  <c r="BI54" i="2"/>
  <c r="BH54" i="2"/>
  <c r="BG54" i="2"/>
  <c r="BF54" i="2"/>
  <c r="BE54" i="2"/>
  <c r="BD54" i="2"/>
  <c r="BC54" i="2"/>
  <c r="BB54" i="2"/>
  <c r="BA54" i="2"/>
  <c r="AZ54" i="2"/>
  <c r="AY54" i="2"/>
  <c r="AX54" i="2"/>
  <c r="AR54" i="2"/>
  <c r="AQ54" i="2"/>
  <c r="AP54" i="2"/>
  <c r="AO54" i="2"/>
  <c r="AN54" i="2"/>
  <c r="AM54" i="2"/>
  <c r="AL54" i="2"/>
  <c r="AK54" i="2"/>
  <c r="W54" i="2"/>
  <c r="AW54" i="2" s="1"/>
  <c r="V54" i="2"/>
  <c r="AV54" i="2" s="1"/>
  <c r="U54" i="2"/>
  <c r="AU54" i="2" s="1"/>
  <c r="T54" i="2"/>
  <c r="AT54" i="2" s="1"/>
  <c r="S54" i="2"/>
  <c r="AS54" i="2" s="1"/>
  <c r="Q54" i="2"/>
  <c r="P54" i="2"/>
  <c r="N54" i="2"/>
  <c r="M54" i="2"/>
  <c r="L54" i="2"/>
  <c r="K54" i="2"/>
  <c r="J54" i="2"/>
  <c r="I54" i="2"/>
  <c r="F54" i="2"/>
  <c r="BJ53" i="2"/>
  <c r="BK53" i="2" s="1"/>
  <c r="BO53" i="2" s="1"/>
  <c r="BI53" i="2"/>
  <c r="BH53" i="2"/>
  <c r="BG53" i="2"/>
  <c r="BF53" i="2"/>
  <c r="BE53" i="2"/>
  <c r="BD53" i="2"/>
  <c r="BC53" i="2"/>
  <c r="BB53" i="2"/>
  <c r="BA53" i="2"/>
  <c r="AZ53" i="2"/>
  <c r="AY53" i="2"/>
  <c r="AX53" i="2"/>
  <c r="AU53" i="2"/>
  <c r="AT53" i="2"/>
  <c r="AS53" i="2"/>
  <c r="AR53" i="2"/>
  <c r="AQ53" i="2"/>
  <c r="AP53" i="2"/>
  <c r="AO53" i="2"/>
  <c r="AN53" i="2"/>
  <c r="AM53" i="2"/>
  <c r="AL53" i="2"/>
  <c r="AK53" i="2"/>
  <c r="W53" i="2"/>
  <c r="AW53" i="2" s="1"/>
  <c r="V53" i="2"/>
  <c r="AV53" i="2" s="1"/>
  <c r="U53" i="2"/>
  <c r="T53" i="2"/>
  <c r="S53" i="2"/>
  <c r="Q53" i="2"/>
  <c r="P53" i="2"/>
  <c r="N53" i="2"/>
  <c r="M53" i="2"/>
  <c r="L53" i="2"/>
  <c r="K53" i="2"/>
  <c r="J53" i="2"/>
  <c r="H53" i="2"/>
  <c r="G53" i="2"/>
  <c r="F53" i="2"/>
  <c r="BJ52" i="2"/>
  <c r="BK52" i="2" s="1"/>
  <c r="BN52" i="2" s="1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Q52" i="2"/>
  <c r="AP52" i="2"/>
  <c r="AO52" i="2"/>
  <c r="AN52" i="2"/>
  <c r="AM52" i="2"/>
  <c r="AL52" i="2"/>
  <c r="Y52" i="2"/>
  <c r="X52" i="2"/>
  <c r="W52" i="2"/>
  <c r="V52" i="2"/>
  <c r="U52" i="2"/>
  <c r="T52" i="2"/>
  <c r="S52" i="2"/>
  <c r="Q52" i="2"/>
  <c r="R52" i="2" s="1"/>
  <c r="AR52" i="2" s="1"/>
  <c r="P52" i="2"/>
  <c r="N52" i="2"/>
  <c r="M52" i="2"/>
  <c r="L52" i="2"/>
  <c r="K52" i="2"/>
  <c r="J52" i="2"/>
  <c r="AK52" i="2" s="1"/>
  <c r="I52" i="2"/>
  <c r="F52" i="2"/>
  <c r="BK51" i="2"/>
  <c r="BM51" i="2" s="1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R51" i="2"/>
  <c r="AQ51" i="2"/>
  <c r="AO51" i="2"/>
  <c r="W51" i="2"/>
  <c r="AW51" i="2" s="1"/>
  <c r="V51" i="2"/>
  <c r="AV51" i="2" s="1"/>
  <c r="U51" i="2"/>
  <c r="AU51" i="2" s="1"/>
  <c r="T51" i="2"/>
  <c r="AT51" i="2" s="1"/>
  <c r="S51" i="2"/>
  <c r="AS51" i="2" s="1"/>
  <c r="Q51" i="2"/>
  <c r="P51" i="2"/>
  <c r="AP51" i="2" s="1"/>
  <c r="N51" i="2"/>
  <c r="M51" i="2"/>
  <c r="AN51" i="2" s="1"/>
  <c r="L51" i="2"/>
  <c r="AM51" i="2" s="1"/>
  <c r="K51" i="2"/>
  <c r="AL51" i="2" s="1"/>
  <c r="J51" i="2"/>
  <c r="AK51" i="2" s="1"/>
  <c r="I51" i="2"/>
  <c r="F51" i="2"/>
  <c r="BL53" i="2" s="1"/>
  <c r="BJ50" i="2"/>
  <c r="BK50" i="2" s="1"/>
  <c r="BO50" i="2" s="1"/>
  <c r="BI50" i="2"/>
  <c r="BH50" i="2"/>
  <c r="BG50" i="2"/>
  <c r="BF50" i="2"/>
  <c r="BE50" i="2"/>
  <c r="BD50" i="2"/>
  <c r="BC50" i="2"/>
  <c r="BB50" i="2"/>
  <c r="BA50" i="2"/>
  <c r="AZ50" i="2"/>
  <c r="AY50" i="2"/>
  <c r="AX50" i="2"/>
  <c r="AR50" i="2"/>
  <c r="AO50" i="2"/>
  <c r="AM50" i="2"/>
  <c r="AL50" i="2"/>
  <c r="AK50" i="2"/>
  <c r="W50" i="2"/>
  <c r="AW50" i="2" s="1"/>
  <c r="V50" i="2"/>
  <c r="AV50" i="2" s="1"/>
  <c r="U50" i="2"/>
  <c r="AU50" i="2" s="1"/>
  <c r="T50" i="2"/>
  <c r="AT50" i="2" s="1"/>
  <c r="S50" i="2"/>
  <c r="AS50" i="2" s="1"/>
  <c r="Q50" i="2"/>
  <c r="AQ50" i="2" s="1"/>
  <c r="P50" i="2"/>
  <c r="AP50" i="2" s="1"/>
  <c r="N50" i="2"/>
  <c r="M50" i="2"/>
  <c r="AN50" i="2" s="1"/>
  <c r="L50" i="2"/>
  <c r="K50" i="2"/>
  <c r="J50" i="2"/>
  <c r="H50" i="2"/>
  <c r="G50" i="2"/>
  <c r="F50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Q49" i="2"/>
  <c r="AP49" i="2"/>
  <c r="AO49" i="2"/>
  <c r="AN49" i="2"/>
  <c r="AM49" i="2"/>
  <c r="AL49" i="2"/>
  <c r="AK49" i="2"/>
  <c r="Y49" i="2"/>
  <c r="X49" i="2"/>
  <c r="W49" i="2"/>
  <c r="V49" i="2"/>
  <c r="AV49" i="2" s="1"/>
  <c r="U49" i="2"/>
  <c r="AU49" i="2" s="1"/>
  <c r="T49" i="2"/>
  <c r="AT49" i="2" s="1"/>
  <c r="S49" i="2"/>
  <c r="AS49" i="2" s="1"/>
  <c r="R49" i="2"/>
  <c r="AR49" i="2" s="1"/>
  <c r="Q49" i="2"/>
  <c r="P49" i="2"/>
  <c r="N49" i="2"/>
  <c r="M49" i="2"/>
  <c r="L49" i="2"/>
  <c r="K49" i="2"/>
  <c r="J49" i="2"/>
  <c r="I49" i="2"/>
  <c r="F49" i="2"/>
  <c r="BJ48" i="2"/>
  <c r="BK48" i="2" s="1"/>
  <c r="BM48" i="2" s="1"/>
  <c r="BI48" i="2"/>
  <c r="BH48" i="2"/>
  <c r="BG48" i="2"/>
  <c r="BF48" i="2"/>
  <c r="BE48" i="2"/>
  <c r="BD48" i="2"/>
  <c r="BC48" i="2"/>
  <c r="BB48" i="2"/>
  <c r="BA48" i="2"/>
  <c r="AZ48" i="2"/>
  <c r="AY48" i="2"/>
  <c r="AX48" i="2"/>
  <c r="AU48" i="2"/>
  <c r="AT48" i="2"/>
  <c r="AS48" i="2"/>
  <c r="AR48" i="2"/>
  <c r="AQ48" i="2"/>
  <c r="AP48" i="2"/>
  <c r="AO48" i="2"/>
  <c r="AN48" i="2"/>
  <c r="AL48" i="2"/>
  <c r="AK48" i="2"/>
  <c r="W48" i="2"/>
  <c r="AW48" i="2" s="1"/>
  <c r="V48" i="2"/>
  <c r="AV48" i="2" s="1"/>
  <c r="U48" i="2"/>
  <c r="T48" i="2"/>
  <c r="S48" i="2"/>
  <c r="Q48" i="2"/>
  <c r="P48" i="2"/>
  <c r="N48" i="2"/>
  <c r="M48" i="2"/>
  <c r="L48" i="2"/>
  <c r="AM48" i="2" s="1"/>
  <c r="K48" i="2"/>
  <c r="J48" i="2"/>
  <c r="I48" i="2"/>
  <c r="F48" i="2"/>
  <c r="BJ47" i="2"/>
  <c r="BK47" i="2" s="1"/>
  <c r="BO47" i="2" s="1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O47" i="2"/>
  <c r="AN47" i="2"/>
  <c r="AM47" i="2"/>
  <c r="AL47" i="2"/>
  <c r="AK47" i="2"/>
  <c r="W47" i="2"/>
  <c r="V47" i="2"/>
  <c r="U47" i="2"/>
  <c r="T47" i="2"/>
  <c r="S47" i="2"/>
  <c r="Q47" i="2"/>
  <c r="P47" i="2"/>
  <c r="AP47" i="2" s="1"/>
  <c r="N47" i="2"/>
  <c r="M47" i="2"/>
  <c r="L47" i="2"/>
  <c r="K47" i="2"/>
  <c r="J47" i="2"/>
  <c r="H47" i="2"/>
  <c r="G47" i="2"/>
  <c r="F47" i="2"/>
  <c r="BJ46" i="2"/>
  <c r="BK46" i="2" s="1"/>
  <c r="BN46" i="2" s="1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Q46" i="2"/>
  <c r="AP46" i="2"/>
  <c r="AO46" i="2"/>
  <c r="AN46" i="2"/>
  <c r="Y46" i="2"/>
  <c r="X46" i="2"/>
  <c r="W46" i="2"/>
  <c r="V46" i="2"/>
  <c r="AV46" i="2" s="1"/>
  <c r="U46" i="2"/>
  <c r="AU46" i="2" s="1"/>
  <c r="T46" i="2"/>
  <c r="AT46" i="2" s="1"/>
  <c r="S46" i="2"/>
  <c r="AS46" i="2" s="1"/>
  <c r="Q46" i="2"/>
  <c r="R46" i="2" s="1"/>
  <c r="AR46" i="2" s="1"/>
  <c r="P46" i="2"/>
  <c r="N46" i="2"/>
  <c r="M46" i="2"/>
  <c r="L46" i="2"/>
  <c r="AM46" i="2" s="1"/>
  <c r="K46" i="2"/>
  <c r="AL46" i="2" s="1"/>
  <c r="J46" i="2"/>
  <c r="AK46" i="2" s="1"/>
  <c r="I46" i="2"/>
  <c r="F46" i="2"/>
  <c r="BJ45" i="2"/>
  <c r="BI45" i="2"/>
  <c r="BK45" i="2" s="1"/>
  <c r="BM45" i="2" s="1"/>
  <c r="BH45" i="2"/>
  <c r="BG45" i="2"/>
  <c r="BF45" i="2"/>
  <c r="BE45" i="2"/>
  <c r="BD45" i="2"/>
  <c r="BC45" i="2"/>
  <c r="BB45" i="2"/>
  <c r="BA45" i="2"/>
  <c r="AZ45" i="2"/>
  <c r="AY45" i="2"/>
  <c r="AX45" i="2"/>
  <c r="AR45" i="2"/>
  <c r="AO45" i="2"/>
  <c r="AL45" i="2"/>
  <c r="AK45" i="2"/>
  <c r="W45" i="2"/>
  <c r="AW45" i="2" s="1"/>
  <c r="V45" i="2"/>
  <c r="AV45" i="2" s="1"/>
  <c r="U45" i="2"/>
  <c r="AU45" i="2" s="1"/>
  <c r="T45" i="2"/>
  <c r="AT45" i="2" s="1"/>
  <c r="S45" i="2"/>
  <c r="AS45" i="2" s="1"/>
  <c r="Q45" i="2"/>
  <c r="AQ45" i="2" s="1"/>
  <c r="P45" i="2"/>
  <c r="AP45" i="2" s="1"/>
  <c r="N45" i="2"/>
  <c r="M45" i="2"/>
  <c r="AN45" i="2" s="1"/>
  <c r="L45" i="2"/>
  <c r="AM45" i="2" s="1"/>
  <c r="K45" i="2"/>
  <c r="J45" i="2"/>
  <c r="I45" i="2"/>
  <c r="F45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R44" i="2"/>
  <c r="AO44" i="2"/>
  <c r="AM44" i="2"/>
  <c r="AL44" i="2"/>
  <c r="AK44" i="2"/>
  <c r="W44" i="2"/>
  <c r="V44" i="2"/>
  <c r="AV44" i="2" s="1"/>
  <c r="U44" i="2"/>
  <c r="AU44" i="2" s="1"/>
  <c r="T44" i="2"/>
  <c r="AT44" i="2" s="1"/>
  <c r="S44" i="2"/>
  <c r="AS44" i="2" s="1"/>
  <c r="Q44" i="2"/>
  <c r="AQ44" i="2" s="1"/>
  <c r="P44" i="2"/>
  <c r="AP44" i="2" s="1"/>
  <c r="N44" i="2"/>
  <c r="M44" i="2"/>
  <c r="AN44" i="2" s="1"/>
  <c r="L44" i="2"/>
  <c r="K44" i="2"/>
  <c r="J44" i="2"/>
  <c r="H44" i="2"/>
  <c r="G44" i="2"/>
  <c r="F44" i="2"/>
  <c r="BJ43" i="2"/>
  <c r="BK43" i="2" s="1"/>
  <c r="BN43" i="2" s="1"/>
  <c r="BI43" i="2"/>
  <c r="BH43" i="2"/>
  <c r="BG43" i="2"/>
  <c r="BF43" i="2"/>
  <c r="BE43" i="2"/>
  <c r="BD43" i="2"/>
  <c r="BC43" i="2"/>
  <c r="BB43" i="2"/>
  <c r="BA43" i="2"/>
  <c r="AZ43" i="2"/>
  <c r="AY43" i="2"/>
  <c r="AS43" i="2"/>
  <c r="AR43" i="2"/>
  <c r="AQ43" i="2"/>
  <c r="AP43" i="2"/>
  <c r="AO43" i="2"/>
  <c r="AN43" i="2"/>
  <c r="Y43" i="2"/>
  <c r="X43" i="2"/>
  <c r="AX43" i="2" s="1"/>
  <c r="W43" i="2"/>
  <c r="AW43" i="2" s="1"/>
  <c r="V43" i="2"/>
  <c r="AV43" i="2" s="1"/>
  <c r="U43" i="2"/>
  <c r="AU43" i="2" s="1"/>
  <c r="T43" i="2"/>
  <c r="AT43" i="2" s="1"/>
  <c r="S43" i="2"/>
  <c r="R43" i="2"/>
  <c r="Q43" i="2"/>
  <c r="P43" i="2"/>
  <c r="N43" i="2"/>
  <c r="M43" i="2"/>
  <c r="L43" i="2"/>
  <c r="AM43" i="2" s="1"/>
  <c r="K43" i="2"/>
  <c r="AL43" i="2" s="1"/>
  <c r="J43" i="2"/>
  <c r="AK43" i="2" s="1"/>
  <c r="I43" i="2"/>
  <c r="F43" i="2"/>
  <c r="BJ42" i="2"/>
  <c r="BK42" i="2" s="1"/>
  <c r="BM42" i="2" s="1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L42" i="2"/>
  <c r="AK42" i="2"/>
  <c r="W42" i="2"/>
  <c r="V42" i="2"/>
  <c r="U42" i="2"/>
  <c r="T42" i="2"/>
  <c r="S42" i="2"/>
  <c r="Q42" i="2"/>
  <c r="P42" i="2"/>
  <c r="N42" i="2"/>
  <c r="M42" i="2"/>
  <c r="AN42" i="2" s="1"/>
  <c r="L42" i="2"/>
  <c r="AM42" i="2" s="1"/>
  <c r="K42" i="2"/>
  <c r="J42" i="2"/>
  <c r="I42" i="2"/>
  <c r="F42" i="2"/>
  <c r="BJ41" i="2"/>
  <c r="BK41" i="2" s="1"/>
  <c r="BO41" i="2" s="1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R41" i="2"/>
  <c r="AO41" i="2"/>
  <c r="AM41" i="2"/>
  <c r="W41" i="2"/>
  <c r="V41" i="2"/>
  <c r="U41" i="2"/>
  <c r="T41" i="2"/>
  <c r="S41" i="2"/>
  <c r="AS41" i="2" s="1"/>
  <c r="Q41" i="2"/>
  <c r="AQ41" i="2" s="1"/>
  <c r="P41" i="2"/>
  <c r="AP41" i="2" s="1"/>
  <c r="N41" i="2"/>
  <c r="M41" i="2"/>
  <c r="AN41" i="2" s="1"/>
  <c r="L41" i="2"/>
  <c r="K41" i="2"/>
  <c r="AL41" i="2" s="1"/>
  <c r="J41" i="2"/>
  <c r="AK41" i="2" s="1"/>
  <c r="H41" i="2"/>
  <c r="G41" i="2"/>
  <c r="F41" i="2"/>
  <c r="BJ40" i="2"/>
  <c r="BK40" i="2" s="1"/>
  <c r="BN40" i="2" s="1"/>
  <c r="BI40" i="2"/>
  <c r="BH40" i="2"/>
  <c r="BG40" i="2"/>
  <c r="BF40" i="2"/>
  <c r="BE40" i="2"/>
  <c r="BD40" i="2"/>
  <c r="BC40" i="2"/>
  <c r="BB40" i="2"/>
  <c r="BA40" i="2"/>
  <c r="AZ40" i="2"/>
  <c r="AY40" i="2"/>
  <c r="AO40" i="2"/>
  <c r="Y40" i="2"/>
  <c r="X40" i="2"/>
  <c r="AX40" i="2" s="1"/>
  <c r="W40" i="2"/>
  <c r="AW40" i="2" s="1"/>
  <c r="V40" i="2"/>
  <c r="AV40" i="2" s="1"/>
  <c r="U40" i="2"/>
  <c r="AU40" i="2" s="1"/>
  <c r="T40" i="2"/>
  <c r="AT40" i="2" s="1"/>
  <c r="S40" i="2"/>
  <c r="AS40" i="2" s="1"/>
  <c r="Q40" i="2"/>
  <c r="P40" i="2"/>
  <c r="AP40" i="2" s="1"/>
  <c r="N40" i="2"/>
  <c r="M40" i="2"/>
  <c r="AN40" i="2" s="1"/>
  <c r="L40" i="2"/>
  <c r="AM40" i="2" s="1"/>
  <c r="K40" i="2"/>
  <c r="AL40" i="2" s="1"/>
  <c r="J40" i="2"/>
  <c r="AK40" i="2" s="1"/>
  <c r="I40" i="2"/>
  <c r="F40" i="2"/>
  <c r="BJ39" i="2"/>
  <c r="BI39" i="2"/>
  <c r="BK39" i="2" s="1"/>
  <c r="BM39" i="2" s="1"/>
  <c r="BH39" i="2"/>
  <c r="BG39" i="2"/>
  <c r="BF39" i="2"/>
  <c r="BE39" i="2"/>
  <c r="BD39" i="2"/>
  <c r="BC39" i="2"/>
  <c r="BB39" i="2"/>
  <c r="BA39" i="2"/>
  <c r="AZ39" i="2"/>
  <c r="AY39" i="2"/>
  <c r="AX39" i="2"/>
  <c r="AR39" i="2"/>
  <c r="AO39" i="2"/>
  <c r="AL39" i="2"/>
  <c r="AK39" i="2"/>
  <c r="W39" i="2"/>
  <c r="AW39" i="2" s="1"/>
  <c r="V39" i="2"/>
  <c r="AV39" i="2" s="1"/>
  <c r="U39" i="2"/>
  <c r="AU39" i="2" s="1"/>
  <c r="T39" i="2"/>
  <c r="AT39" i="2" s="1"/>
  <c r="S39" i="2"/>
  <c r="AS39" i="2" s="1"/>
  <c r="Q39" i="2"/>
  <c r="AQ39" i="2" s="1"/>
  <c r="P39" i="2"/>
  <c r="AP39" i="2" s="1"/>
  <c r="N39" i="2"/>
  <c r="M39" i="2"/>
  <c r="AN39" i="2" s="1"/>
  <c r="L39" i="2"/>
  <c r="AM39" i="2" s="1"/>
  <c r="K39" i="2"/>
  <c r="J39" i="2"/>
  <c r="I39" i="2"/>
  <c r="F39" i="2"/>
  <c r="BJ38" i="2"/>
  <c r="BK38" i="2" s="1"/>
  <c r="BO38" i="2" s="1"/>
  <c r="BI38" i="2"/>
  <c r="BH38" i="2"/>
  <c r="BG38" i="2"/>
  <c r="BF38" i="2"/>
  <c r="BE38" i="2"/>
  <c r="BD38" i="2"/>
  <c r="BC38" i="2"/>
  <c r="BB38" i="2"/>
  <c r="BA38" i="2"/>
  <c r="AZ38" i="2"/>
  <c r="AY38" i="2"/>
  <c r="AX38" i="2"/>
  <c r="AR38" i="2"/>
  <c r="AQ38" i="2"/>
  <c r="AP38" i="2"/>
  <c r="AO38" i="2"/>
  <c r="AN38" i="2"/>
  <c r="AM38" i="2"/>
  <c r="AL38" i="2"/>
  <c r="AK38" i="2"/>
  <c r="W38" i="2"/>
  <c r="AW38" i="2" s="1"/>
  <c r="V38" i="2"/>
  <c r="AV38" i="2" s="1"/>
  <c r="U38" i="2"/>
  <c r="AU38" i="2" s="1"/>
  <c r="T38" i="2"/>
  <c r="AT38" i="2" s="1"/>
  <c r="S38" i="2"/>
  <c r="AS38" i="2" s="1"/>
  <c r="Q38" i="2"/>
  <c r="P38" i="2"/>
  <c r="N38" i="2"/>
  <c r="M38" i="2"/>
  <c r="L38" i="2"/>
  <c r="K38" i="2"/>
  <c r="J38" i="2"/>
  <c r="H38" i="2"/>
  <c r="G38" i="2"/>
  <c r="F38" i="2"/>
  <c r="BJ37" i="2"/>
  <c r="BK37" i="2" s="1"/>
  <c r="BN37" i="2" s="1"/>
  <c r="BI37" i="2"/>
  <c r="BH37" i="2"/>
  <c r="BG37" i="2"/>
  <c r="BF37" i="2"/>
  <c r="BE37" i="2"/>
  <c r="BD37" i="2"/>
  <c r="BC37" i="2"/>
  <c r="BB37" i="2"/>
  <c r="BA37" i="2"/>
  <c r="AZ37" i="2"/>
  <c r="AV37" i="2"/>
  <c r="AU37" i="2"/>
  <c r="AT37" i="2"/>
  <c r="AS37" i="2"/>
  <c r="AR37" i="2"/>
  <c r="AQ37" i="2"/>
  <c r="AO37" i="2"/>
  <c r="Y37" i="2"/>
  <c r="AY37" i="2" s="1"/>
  <c r="X37" i="2"/>
  <c r="AX37" i="2" s="1"/>
  <c r="W37" i="2"/>
  <c r="AW37" i="2" s="1"/>
  <c r="V37" i="2"/>
  <c r="U37" i="2"/>
  <c r="T37" i="2"/>
  <c r="S37" i="2"/>
  <c r="Q37" i="2"/>
  <c r="R37" i="2" s="1"/>
  <c r="P37" i="2"/>
  <c r="AP37" i="2" s="1"/>
  <c r="N37" i="2"/>
  <c r="M37" i="2"/>
  <c r="AN37" i="2" s="1"/>
  <c r="L37" i="2"/>
  <c r="AM37" i="2" s="1"/>
  <c r="K37" i="2"/>
  <c r="AL37" i="2" s="1"/>
  <c r="J37" i="2"/>
  <c r="AK37" i="2" s="1"/>
  <c r="I37" i="2"/>
  <c r="F37" i="2"/>
  <c r="BJ36" i="2"/>
  <c r="BK36" i="2" s="1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R36" i="2"/>
  <c r="AO36" i="2"/>
  <c r="W36" i="2"/>
  <c r="V36" i="2"/>
  <c r="U36" i="2"/>
  <c r="T36" i="2"/>
  <c r="S36" i="2"/>
  <c r="AS36" i="2" s="1"/>
  <c r="Q36" i="2"/>
  <c r="AQ36" i="2" s="1"/>
  <c r="P36" i="2"/>
  <c r="AP36" i="2" s="1"/>
  <c r="N36" i="2"/>
  <c r="M36" i="2"/>
  <c r="AN36" i="2" s="1"/>
  <c r="L36" i="2"/>
  <c r="AM36" i="2" s="1"/>
  <c r="K36" i="2"/>
  <c r="AL36" i="2" s="1"/>
  <c r="J36" i="2"/>
  <c r="AK36" i="2" s="1"/>
  <c r="I36" i="2"/>
  <c r="F36" i="2"/>
  <c r="BK28" i="2"/>
  <c r="BO28" i="2" s="1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R28" i="2"/>
  <c r="AO28" i="2"/>
  <c r="W28" i="2"/>
  <c r="V28" i="2"/>
  <c r="AV28" i="2" s="1"/>
  <c r="U28" i="2"/>
  <c r="AU28" i="2" s="1"/>
  <c r="T28" i="2"/>
  <c r="AT28" i="2" s="1"/>
  <c r="S28" i="2"/>
  <c r="AS28" i="2" s="1"/>
  <c r="Q28" i="2"/>
  <c r="AQ28" i="2" s="1"/>
  <c r="P28" i="2"/>
  <c r="AP28" i="2" s="1"/>
  <c r="N28" i="2"/>
  <c r="M28" i="2"/>
  <c r="AN28" i="2" s="1"/>
  <c r="L28" i="2"/>
  <c r="AM28" i="2" s="1"/>
  <c r="K28" i="2"/>
  <c r="AL28" i="2" s="1"/>
  <c r="J28" i="2"/>
  <c r="AK28" i="2" s="1"/>
  <c r="H28" i="2"/>
  <c r="G28" i="2"/>
  <c r="F28" i="2"/>
  <c r="BJ27" i="2"/>
  <c r="BK27" i="2" s="1"/>
  <c r="BN27" i="2" s="1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O27" i="2"/>
  <c r="AN27" i="2"/>
  <c r="AM27" i="2"/>
  <c r="AL27" i="2"/>
  <c r="AK27" i="2"/>
  <c r="Z27" i="2"/>
  <c r="Y27" i="2"/>
  <c r="X27" i="2"/>
  <c r="W27" i="2"/>
  <c r="V27" i="2"/>
  <c r="U27" i="2"/>
  <c r="T27" i="2"/>
  <c r="S27" i="2"/>
  <c r="AS27" i="2" s="1"/>
  <c r="Q27" i="2"/>
  <c r="AQ27" i="2" s="1"/>
  <c r="P27" i="2"/>
  <c r="AP27" i="2" s="1"/>
  <c r="N27" i="2"/>
  <c r="M27" i="2"/>
  <c r="L27" i="2"/>
  <c r="K27" i="2"/>
  <c r="J27" i="2"/>
  <c r="I27" i="2"/>
  <c r="F27" i="2"/>
  <c r="BK26" i="2"/>
  <c r="BM26" i="2" s="1"/>
  <c r="BH26" i="2"/>
  <c r="BG26" i="2"/>
  <c r="BF26" i="2"/>
  <c r="BE26" i="2"/>
  <c r="BD26" i="2"/>
  <c r="BC26" i="2"/>
  <c r="BB26" i="2"/>
  <c r="BA26" i="2"/>
  <c r="AZ26" i="2"/>
  <c r="AY26" i="2"/>
  <c r="AX26" i="2"/>
  <c r="AR26" i="2"/>
  <c r="AQ26" i="2"/>
  <c r="AP26" i="2"/>
  <c r="AO26" i="2"/>
  <c r="AN26" i="2"/>
  <c r="AM26" i="2"/>
  <c r="AL26" i="2"/>
  <c r="AK26" i="2"/>
  <c r="W26" i="2"/>
  <c r="AW26" i="2" s="1"/>
  <c r="V26" i="2"/>
  <c r="AV26" i="2" s="1"/>
  <c r="U26" i="2"/>
  <c r="AU26" i="2" s="1"/>
  <c r="T26" i="2"/>
  <c r="AT26" i="2" s="1"/>
  <c r="S26" i="2"/>
  <c r="AS26" i="2" s="1"/>
  <c r="Q26" i="2"/>
  <c r="P26" i="2"/>
  <c r="N26" i="2"/>
  <c r="M26" i="2"/>
  <c r="L26" i="2"/>
  <c r="K26" i="2"/>
  <c r="J26" i="2"/>
  <c r="I26" i="2"/>
  <c r="F26" i="2"/>
  <c r="BL28" i="2" s="1"/>
  <c r="BK25" i="2"/>
  <c r="BO25" i="2" s="1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T25" i="2"/>
  <c r="AS25" i="2"/>
  <c r="AR25" i="2"/>
  <c r="AQ25" i="2"/>
  <c r="AP25" i="2"/>
  <c r="AO25" i="2"/>
  <c r="AN25" i="2"/>
  <c r="AM25" i="2"/>
  <c r="W25" i="2"/>
  <c r="AW25" i="2" s="1"/>
  <c r="V25" i="2"/>
  <c r="AV25" i="2" s="1"/>
  <c r="U25" i="2"/>
  <c r="AU25" i="2" s="1"/>
  <c r="T25" i="2"/>
  <c r="S25" i="2"/>
  <c r="Q25" i="2"/>
  <c r="P25" i="2"/>
  <c r="N25" i="2"/>
  <c r="M25" i="2"/>
  <c r="L25" i="2"/>
  <c r="K25" i="2"/>
  <c r="AL25" i="2" s="1"/>
  <c r="J25" i="2"/>
  <c r="AK25" i="2" s="1"/>
  <c r="H25" i="2"/>
  <c r="G25" i="2"/>
  <c r="F25" i="2"/>
  <c r="BN24" i="2"/>
  <c r="BK24" i="2"/>
  <c r="BJ24" i="2"/>
  <c r="BI24" i="2"/>
  <c r="BH24" i="2"/>
  <c r="BG24" i="2"/>
  <c r="BF24" i="2"/>
  <c r="BE24" i="2"/>
  <c r="BD24" i="2"/>
  <c r="BC24" i="2"/>
  <c r="BB24" i="2"/>
  <c r="BA24" i="2"/>
  <c r="AY24" i="2"/>
  <c r="AX24" i="2"/>
  <c r="AW24" i="2"/>
  <c r="AV24" i="2"/>
  <c r="AU24" i="2"/>
  <c r="AT24" i="2"/>
  <c r="AS24" i="2"/>
  <c r="AQ24" i="2"/>
  <c r="AP24" i="2"/>
  <c r="AO24" i="2"/>
  <c r="AK24" i="2"/>
  <c r="Z24" i="2"/>
  <c r="AZ24" i="2" s="1"/>
  <c r="Y24" i="2"/>
  <c r="X24" i="2"/>
  <c r="W24" i="2"/>
  <c r="V24" i="2"/>
  <c r="U24" i="2"/>
  <c r="T24" i="2"/>
  <c r="S24" i="2"/>
  <c r="Q24" i="2"/>
  <c r="R24" i="2" s="1"/>
  <c r="AR24" i="2" s="1"/>
  <c r="P24" i="2"/>
  <c r="N24" i="2"/>
  <c r="M24" i="2"/>
  <c r="AN24" i="2" s="1"/>
  <c r="L24" i="2"/>
  <c r="AM24" i="2" s="1"/>
  <c r="K24" i="2"/>
  <c r="AL24" i="2" s="1"/>
  <c r="J24" i="2"/>
  <c r="I24" i="2"/>
  <c r="F24" i="2"/>
  <c r="BK23" i="2"/>
  <c r="BM23" i="2" s="1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R23" i="2"/>
  <c r="AO23" i="2"/>
  <c r="W23" i="2"/>
  <c r="V23" i="2"/>
  <c r="U23" i="2"/>
  <c r="T23" i="2"/>
  <c r="S23" i="2"/>
  <c r="AS23" i="2" s="1"/>
  <c r="Q23" i="2"/>
  <c r="AQ23" i="2" s="1"/>
  <c r="P23" i="2"/>
  <c r="AP23" i="2" s="1"/>
  <c r="N23" i="2"/>
  <c r="M23" i="2"/>
  <c r="AN23" i="2" s="1"/>
  <c r="L23" i="2"/>
  <c r="AM23" i="2" s="1"/>
  <c r="K23" i="2"/>
  <c r="AL23" i="2" s="1"/>
  <c r="J23" i="2"/>
  <c r="AK23" i="2" s="1"/>
  <c r="I23" i="2"/>
  <c r="F23" i="2"/>
  <c r="BL25" i="2" s="1"/>
  <c r="BK22" i="2"/>
  <c r="BO22" i="2" s="1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R22" i="2"/>
  <c r="AO22" i="2"/>
  <c r="W22" i="2"/>
  <c r="V22" i="2"/>
  <c r="U22" i="2"/>
  <c r="T22" i="2"/>
  <c r="S22" i="2"/>
  <c r="AS22" i="2" s="1"/>
  <c r="Q22" i="2"/>
  <c r="AQ22" i="2" s="1"/>
  <c r="P22" i="2"/>
  <c r="AP22" i="2" s="1"/>
  <c r="N22" i="2"/>
  <c r="M22" i="2"/>
  <c r="AN22" i="2" s="1"/>
  <c r="L22" i="2"/>
  <c r="AM22" i="2" s="1"/>
  <c r="K22" i="2"/>
  <c r="AL22" i="2" s="1"/>
  <c r="J22" i="2"/>
  <c r="AK22" i="2" s="1"/>
  <c r="H22" i="2"/>
  <c r="G22" i="2"/>
  <c r="F22" i="2"/>
  <c r="BJ21" i="2"/>
  <c r="BK21" i="2" s="1"/>
  <c r="BN21" i="2" s="1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O21" i="2"/>
  <c r="AN21" i="2"/>
  <c r="AM21" i="2"/>
  <c r="AL21" i="2"/>
  <c r="AK21" i="2"/>
  <c r="Z21" i="2"/>
  <c r="Y21" i="2"/>
  <c r="X21" i="2"/>
  <c r="W21" i="2"/>
  <c r="V21" i="2"/>
  <c r="U21" i="2"/>
  <c r="T21" i="2"/>
  <c r="S21" i="2"/>
  <c r="AS21" i="2" s="1"/>
  <c r="Q21" i="2"/>
  <c r="AQ21" i="2" s="1"/>
  <c r="P21" i="2"/>
  <c r="AP21" i="2" s="1"/>
  <c r="N21" i="2"/>
  <c r="M21" i="2"/>
  <c r="L21" i="2"/>
  <c r="K21" i="2"/>
  <c r="J21" i="2"/>
  <c r="I21" i="2"/>
  <c r="F21" i="2"/>
  <c r="BJ20" i="2"/>
  <c r="BK20" i="2" s="1"/>
  <c r="BM20" i="2" s="1"/>
  <c r="BI20" i="2"/>
  <c r="BH20" i="2"/>
  <c r="BG20" i="2"/>
  <c r="BF20" i="2"/>
  <c r="BE20" i="2"/>
  <c r="BD20" i="2"/>
  <c r="BC20" i="2"/>
  <c r="BB20" i="2"/>
  <c r="BA20" i="2"/>
  <c r="AZ20" i="2"/>
  <c r="AY20" i="2"/>
  <c r="AX20" i="2"/>
  <c r="AS20" i="2"/>
  <c r="AR20" i="2"/>
  <c r="AQ20" i="2"/>
  <c r="AP20" i="2"/>
  <c r="AO20" i="2"/>
  <c r="AN20" i="2"/>
  <c r="AM20" i="2"/>
  <c r="AL20" i="2"/>
  <c r="W20" i="2"/>
  <c r="AW20" i="2" s="1"/>
  <c r="V20" i="2"/>
  <c r="AV20" i="2" s="1"/>
  <c r="U20" i="2"/>
  <c r="AU20" i="2" s="1"/>
  <c r="T20" i="2"/>
  <c r="AT20" i="2" s="1"/>
  <c r="S20" i="2"/>
  <c r="Q20" i="2"/>
  <c r="P20" i="2"/>
  <c r="N20" i="2"/>
  <c r="M20" i="2"/>
  <c r="L20" i="2"/>
  <c r="K20" i="2"/>
  <c r="J20" i="2"/>
  <c r="AK20" i="2" s="1"/>
  <c r="I20" i="2"/>
  <c r="F20" i="2"/>
  <c r="BK19" i="2"/>
  <c r="BO19" i="2" s="1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V19" i="2"/>
  <c r="AU19" i="2"/>
  <c r="AT19" i="2"/>
  <c r="AS19" i="2"/>
  <c r="AR19" i="2"/>
  <c r="AQ19" i="2"/>
  <c r="AP19" i="2"/>
  <c r="AO19" i="2"/>
  <c r="W19" i="2"/>
  <c r="AW19" i="2" s="1"/>
  <c r="V19" i="2"/>
  <c r="U19" i="2"/>
  <c r="T19" i="2"/>
  <c r="S19" i="2"/>
  <c r="Q19" i="2"/>
  <c r="P19" i="2"/>
  <c r="N19" i="2"/>
  <c r="M19" i="2"/>
  <c r="AN19" i="2" s="1"/>
  <c r="L19" i="2"/>
  <c r="AM19" i="2" s="1"/>
  <c r="K19" i="2"/>
  <c r="AL19" i="2" s="1"/>
  <c r="J19" i="2"/>
  <c r="AK19" i="2" s="1"/>
  <c r="H19" i="2"/>
  <c r="G19" i="2"/>
  <c r="F19" i="2"/>
  <c r="BJ18" i="2"/>
  <c r="BK18" i="2" s="1"/>
  <c r="BN18" i="2" s="1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O18" i="2"/>
  <c r="AM18" i="2"/>
  <c r="AL18" i="2"/>
  <c r="Z18" i="2"/>
  <c r="Y18" i="2"/>
  <c r="X18" i="2"/>
  <c r="W18" i="2"/>
  <c r="V18" i="2"/>
  <c r="U18" i="2"/>
  <c r="T18" i="2"/>
  <c r="S18" i="2"/>
  <c r="Q18" i="2"/>
  <c r="AQ18" i="2" s="1"/>
  <c r="P18" i="2"/>
  <c r="AP18" i="2" s="1"/>
  <c r="N18" i="2"/>
  <c r="M18" i="2"/>
  <c r="AN18" i="2" s="1"/>
  <c r="L18" i="2"/>
  <c r="K18" i="2"/>
  <c r="J18" i="2"/>
  <c r="AK18" i="2" s="1"/>
  <c r="I18" i="2"/>
  <c r="F18" i="2"/>
  <c r="BJ17" i="2"/>
  <c r="BK17" i="2" s="1"/>
  <c r="BM17" i="2" s="1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R17" i="2"/>
  <c r="AO17" i="2"/>
  <c r="W17" i="2"/>
  <c r="V17" i="2"/>
  <c r="AV17" i="2" s="1"/>
  <c r="U17" i="2"/>
  <c r="AU17" i="2" s="1"/>
  <c r="T17" i="2"/>
  <c r="AT17" i="2" s="1"/>
  <c r="S17" i="2"/>
  <c r="AS17" i="2" s="1"/>
  <c r="Q17" i="2"/>
  <c r="AQ17" i="2" s="1"/>
  <c r="P17" i="2"/>
  <c r="AP17" i="2" s="1"/>
  <c r="N17" i="2"/>
  <c r="M17" i="2"/>
  <c r="AN17" i="2" s="1"/>
  <c r="L17" i="2"/>
  <c r="AM17" i="2" s="1"/>
  <c r="K17" i="2"/>
  <c r="AL17" i="2" s="1"/>
  <c r="J17" i="2"/>
  <c r="AK17" i="2" s="1"/>
  <c r="I17" i="2"/>
  <c r="F17" i="2"/>
  <c r="BJ16" i="2"/>
  <c r="BI16" i="2"/>
  <c r="BK16" i="2" s="1"/>
  <c r="BO16" i="2" s="1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R16" i="2"/>
  <c r="AO16" i="2"/>
  <c r="AN16" i="2"/>
  <c r="AL16" i="2"/>
  <c r="AK16" i="2"/>
  <c r="W16" i="2"/>
  <c r="V16" i="2"/>
  <c r="U16" i="2"/>
  <c r="T16" i="2"/>
  <c r="AT16" i="2" s="1"/>
  <c r="S16" i="2"/>
  <c r="AS16" i="2" s="1"/>
  <c r="Q16" i="2"/>
  <c r="AQ16" i="2" s="1"/>
  <c r="P16" i="2"/>
  <c r="AP16" i="2" s="1"/>
  <c r="N16" i="2"/>
  <c r="M16" i="2"/>
  <c r="L16" i="2"/>
  <c r="AM16" i="2" s="1"/>
  <c r="K16" i="2"/>
  <c r="J16" i="2"/>
  <c r="H16" i="2"/>
  <c r="G16" i="2"/>
  <c r="F16" i="2"/>
  <c r="BJ15" i="2"/>
  <c r="BK15" i="2" s="1"/>
  <c r="BN15" i="2" s="1"/>
  <c r="BI15" i="2"/>
  <c r="BH15" i="2"/>
  <c r="BG15" i="2"/>
  <c r="BF15" i="2"/>
  <c r="BE15" i="2"/>
  <c r="BD15" i="2"/>
  <c r="BC15" i="2"/>
  <c r="BB15" i="2"/>
  <c r="BA15" i="2"/>
  <c r="AZ15" i="2"/>
  <c r="AY15" i="2"/>
  <c r="AX15" i="2"/>
  <c r="AS15" i="2"/>
  <c r="AQ15" i="2"/>
  <c r="AP15" i="2"/>
  <c r="AO15" i="2"/>
  <c r="AN15" i="2"/>
  <c r="AM15" i="2"/>
  <c r="AL15" i="2"/>
  <c r="AK15" i="2"/>
  <c r="Z15" i="2"/>
  <c r="Y15" i="2"/>
  <c r="X15" i="2"/>
  <c r="W15" i="2"/>
  <c r="AW15" i="2" s="1"/>
  <c r="V15" i="2"/>
  <c r="AV15" i="2" s="1"/>
  <c r="U15" i="2"/>
  <c r="AU15" i="2" s="1"/>
  <c r="T15" i="2"/>
  <c r="AT15" i="2" s="1"/>
  <c r="S15" i="2"/>
  <c r="Q15" i="2"/>
  <c r="R15" i="2" s="1"/>
  <c r="AR15" i="2" s="1"/>
  <c r="P15" i="2"/>
  <c r="N15" i="2"/>
  <c r="M15" i="2"/>
  <c r="L15" i="2"/>
  <c r="K15" i="2"/>
  <c r="J15" i="2"/>
  <c r="I15" i="2"/>
  <c r="F15" i="2"/>
  <c r="BJ14" i="2"/>
  <c r="BK14" i="2" s="1"/>
  <c r="BM14" i="2" s="1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W14" i="2"/>
  <c r="V14" i="2"/>
  <c r="U14" i="2"/>
  <c r="T14" i="2"/>
  <c r="S14" i="2"/>
  <c r="Q14" i="2"/>
  <c r="P14" i="2"/>
  <c r="N14" i="2"/>
  <c r="M14" i="2"/>
  <c r="AN14" i="2" s="1"/>
  <c r="L14" i="2"/>
  <c r="AM14" i="2" s="1"/>
  <c r="K14" i="2"/>
  <c r="AL14" i="2" s="1"/>
  <c r="J14" i="2"/>
  <c r="AK14" i="2" s="1"/>
  <c r="I14" i="2"/>
  <c r="F14" i="2"/>
  <c r="BO13" i="2"/>
  <c r="BJ13" i="2"/>
  <c r="BK13" i="2" s="1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O13" i="2"/>
  <c r="W13" i="2"/>
  <c r="V13" i="2"/>
  <c r="U13" i="2"/>
  <c r="T13" i="2"/>
  <c r="S13" i="2"/>
  <c r="Q13" i="2"/>
  <c r="AQ13" i="2" s="1"/>
  <c r="P13" i="2"/>
  <c r="AP13" i="2" s="1"/>
  <c r="N13" i="2"/>
  <c r="M13" i="2"/>
  <c r="AN13" i="2" s="1"/>
  <c r="L13" i="2"/>
  <c r="AM13" i="2" s="1"/>
  <c r="K13" i="2"/>
  <c r="AL13" i="2" s="1"/>
  <c r="J13" i="2"/>
  <c r="AK13" i="2" s="1"/>
  <c r="H13" i="2"/>
  <c r="G13" i="2"/>
  <c r="F13" i="2"/>
  <c r="BJ12" i="2"/>
  <c r="BK12" i="2" s="1"/>
  <c r="BN12" i="2" s="1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O12" i="2"/>
  <c r="AK12" i="2"/>
  <c r="Z12" i="2"/>
  <c r="Y12" i="2"/>
  <c r="X12" i="2"/>
  <c r="W12" i="2"/>
  <c r="V12" i="2"/>
  <c r="U12" i="2"/>
  <c r="T12" i="2"/>
  <c r="S12" i="2"/>
  <c r="AS12" i="2" s="1"/>
  <c r="Q12" i="2"/>
  <c r="AQ12" i="2" s="1"/>
  <c r="P12" i="2"/>
  <c r="AP12" i="2" s="1"/>
  <c r="N12" i="2"/>
  <c r="M12" i="2"/>
  <c r="AN12" i="2" s="1"/>
  <c r="L12" i="2"/>
  <c r="AM12" i="2" s="1"/>
  <c r="K12" i="2"/>
  <c r="AL12" i="2" s="1"/>
  <c r="J12" i="2"/>
  <c r="I12" i="2"/>
  <c r="F12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R11" i="2"/>
  <c r="AO11" i="2"/>
  <c r="AM11" i="2"/>
  <c r="AL11" i="2"/>
  <c r="AK11" i="2"/>
  <c r="W11" i="2"/>
  <c r="V11" i="2"/>
  <c r="U11" i="2"/>
  <c r="AU11" i="2" s="1"/>
  <c r="T11" i="2"/>
  <c r="AT11" i="2" s="1"/>
  <c r="S11" i="2"/>
  <c r="AS11" i="2" s="1"/>
  <c r="Q11" i="2"/>
  <c r="AQ11" i="2" s="1"/>
  <c r="P11" i="2"/>
  <c r="AP11" i="2" s="1"/>
  <c r="N11" i="2"/>
  <c r="M11" i="2"/>
  <c r="AN11" i="2" s="1"/>
  <c r="L11" i="2"/>
  <c r="K11" i="2"/>
  <c r="J11" i="2"/>
  <c r="I11" i="2"/>
  <c r="F11" i="2"/>
  <c r="BJ10" i="2"/>
  <c r="BK10" i="2" s="1"/>
  <c r="BO10" i="2" s="1"/>
  <c r="BI10" i="2"/>
  <c r="BH10" i="2"/>
  <c r="BG10" i="2"/>
  <c r="BF10" i="2"/>
  <c r="BE10" i="2"/>
  <c r="BD10" i="2"/>
  <c r="BC10" i="2"/>
  <c r="BB10" i="2"/>
  <c r="BA10" i="2"/>
  <c r="AZ10" i="2"/>
  <c r="AY10" i="2"/>
  <c r="AX10" i="2"/>
  <c r="AR10" i="2"/>
  <c r="AQ10" i="2"/>
  <c r="AP10" i="2"/>
  <c r="AO10" i="2"/>
  <c r="AN10" i="2"/>
  <c r="AM10" i="2"/>
  <c r="AL10" i="2"/>
  <c r="AK10" i="2"/>
  <c r="W10" i="2"/>
  <c r="AW10" i="2" s="1"/>
  <c r="V10" i="2"/>
  <c r="AV10" i="2" s="1"/>
  <c r="U10" i="2"/>
  <c r="AU10" i="2" s="1"/>
  <c r="T10" i="2"/>
  <c r="AT10" i="2" s="1"/>
  <c r="S10" i="2"/>
  <c r="AS10" i="2" s="1"/>
  <c r="Q10" i="2"/>
  <c r="P10" i="2"/>
  <c r="N10" i="2"/>
  <c r="M10" i="2"/>
  <c r="L10" i="2"/>
  <c r="K10" i="2"/>
  <c r="J10" i="2"/>
  <c r="H10" i="2"/>
  <c r="G10" i="2"/>
  <c r="F10" i="2"/>
  <c r="BJ9" i="2"/>
  <c r="BK9" i="2" s="1"/>
  <c r="BI9" i="2"/>
  <c r="BH9" i="2"/>
  <c r="BG9" i="2"/>
  <c r="BF9" i="2"/>
  <c r="BE9" i="2"/>
  <c r="BD9" i="2"/>
  <c r="BC9" i="2"/>
  <c r="BB9" i="2"/>
  <c r="BA9" i="2"/>
  <c r="AW9" i="2"/>
  <c r="AV9" i="2"/>
  <c r="AU9" i="2"/>
  <c r="AT9" i="2"/>
  <c r="AS9" i="2"/>
  <c r="AR9" i="2"/>
  <c r="AQ9" i="2"/>
  <c r="AP9" i="2"/>
  <c r="AO9" i="2"/>
  <c r="AN9" i="2"/>
  <c r="AM9" i="2"/>
  <c r="Z9" i="2"/>
  <c r="AZ9" i="2" s="1"/>
  <c r="Y9" i="2"/>
  <c r="AY9" i="2" s="1"/>
  <c r="X9" i="2"/>
  <c r="AX9" i="2" s="1"/>
  <c r="W9" i="2"/>
  <c r="V9" i="2"/>
  <c r="U9" i="2"/>
  <c r="T9" i="2"/>
  <c r="S9" i="2"/>
  <c r="Q9" i="2"/>
  <c r="R9" i="2" s="1"/>
  <c r="P9" i="2"/>
  <c r="N9" i="2"/>
  <c r="M9" i="2"/>
  <c r="L9" i="2"/>
  <c r="K9" i="2"/>
  <c r="AL9" i="2" s="1"/>
  <c r="J9" i="2"/>
  <c r="AK9" i="2" s="1"/>
  <c r="I9" i="2"/>
  <c r="F9" i="2"/>
  <c r="BJ8" i="2"/>
  <c r="BK8" i="2" s="1"/>
  <c r="BM8" i="2" s="1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O8" i="2"/>
  <c r="W8" i="2"/>
  <c r="V8" i="2"/>
  <c r="U8" i="2"/>
  <c r="T8" i="2"/>
  <c r="S8" i="2"/>
  <c r="Q8" i="2"/>
  <c r="AQ8" i="2" s="1"/>
  <c r="P8" i="2"/>
  <c r="AP8" i="2" s="1"/>
  <c r="N8" i="2"/>
  <c r="M8" i="2"/>
  <c r="AN8" i="2" s="1"/>
  <c r="L8" i="2"/>
  <c r="AM8" i="2" s="1"/>
  <c r="K8" i="2"/>
  <c r="AL8" i="2" s="1"/>
  <c r="J8" i="2"/>
  <c r="AK8" i="2" s="1"/>
  <c r="I8" i="2"/>
  <c r="F8" i="2"/>
  <c r="BO7" i="2"/>
  <c r="BJ7" i="2"/>
  <c r="BK7" i="2" s="1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O7" i="2"/>
  <c r="W7" i="2"/>
  <c r="V7" i="2"/>
  <c r="U7" i="2"/>
  <c r="T7" i="2"/>
  <c r="S7" i="2"/>
  <c r="Q7" i="2"/>
  <c r="AQ7" i="2" s="1"/>
  <c r="P7" i="2"/>
  <c r="AP7" i="2" s="1"/>
  <c r="N7" i="2"/>
  <c r="M7" i="2"/>
  <c r="AN7" i="2" s="1"/>
  <c r="L7" i="2"/>
  <c r="AM7" i="2" s="1"/>
  <c r="K7" i="2"/>
  <c r="AL7" i="2" s="1"/>
  <c r="J7" i="2"/>
  <c r="AK7" i="2" s="1"/>
  <c r="H7" i="2"/>
  <c r="G7" i="2"/>
  <c r="F7" i="2"/>
  <c r="BJ6" i="2"/>
  <c r="BI6" i="2"/>
  <c r="BK6" i="2" s="1"/>
  <c r="BN6" i="2" s="1"/>
  <c r="BH6" i="2"/>
  <c r="BG6" i="2"/>
  <c r="BF6" i="2"/>
  <c r="BE6" i="2"/>
  <c r="BD6" i="2"/>
  <c r="BC6" i="2"/>
  <c r="BB6" i="2"/>
  <c r="BA6" i="2"/>
  <c r="AY6" i="2"/>
  <c r="AX6" i="2"/>
  <c r="AW6" i="2"/>
  <c r="AV6" i="2"/>
  <c r="AU6" i="2"/>
  <c r="AP6" i="2"/>
  <c r="AO6" i="2"/>
  <c r="AN6" i="2"/>
  <c r="AM6" i="2"/>
  <c r="AL6" i="2"/>
  <c r="AK6" i="2"/>
  <c r="Z6" i="2"/>
  <c r="AZ6" i="2" s="1"/>
  <c r="Y6" i="2"/>
  <c r="X6" i="2"/>
  <c r="W6" i="2"/>
  <c r="V6" i="2"/>
  <c r="U6" i="2"/>
  <c r="T6" i="2"/>
  <c r="AT6" i="2" s="1"/>
  <c r="S6" i="2"/>
  <c r="AS6" i="2" s="1"/>
  <c r="Q6" i="2"/>
  <c r="AQ6" i="2" s="1"/>
  <c r="P6" i="2"/>
  <c r="N6" i="2"/>
  <c r="M6" i="2"/>
  <c r="L6" i="2"/>
  <c r="K6" i="2"/>
  <c r="J6" i="2"/>
  <c r="I6" i="2"/>
  <c r="F6" i="2"/>
  <c r="BJ5" i="2"/>
  <c r="BK5" i="2" s="1"/>
  <c r="BM5" i="2" s="1"/>
  <c r="BI5" i="2"/>
  <c r="BH5" i="2"/>
  <c r="BG5" i="2"/>
  <c r="BF5" i="2"/>
  <c r="BE5" i="2"/>
  <c r="BD5" i="2"/>
  <c r="BC5" i="2"/>
  <c r="BB5" i="2"/>
  <c r="BA5" i="2"/>
  <c r="AZ5" i="2"/>
  <c r="AY5" i="2"/>
  <c r="AX5" i="2"/>
  <c r="AT5" i="2"/>
  <c r="AS5" i="2"/>
  <c r="AR5" i="2"/>
  <c r="AQ5" i="2"/>
  <c r="AP5" i="2"/>
  <c r="AO5" i="2"/>
  <c r="AN5" i="2"/>
  <c r="AM5" i="2"/>
  <c r="W5" i="2"/>
  <c r="AW5" i="2" s="1"/>
  <c r="V5" i="2"/>
  <c r="AV5" i="2" s="1"/>
  <c r="U5" i="2"/>
  <c r="AU5" i="2" s="1"/>
  <c r="T5" i="2"/>
  <c r="S5" i="2"/>
  <c r="Q5" i="2"/>
  <c r="P5" i="2"/>
  <c r="N5" i="2"/>
  <c r="M5" i="2"/>
  <c r="L5" i="2"/>
  <c r="K5" i="2"/>
  <c r="AL5" i="2" s="1"/>
  <c r="J5" i="2"/>
  <c r="AK5" i="2" s="1"/>
  <c r="I5" i="2"/>
  <c r="F5" i="2"/>
  <c r="BN9" i="2" l="1"/>
  <c r="BL10" i="2"/>
  <c r="BK266" i="2"/>
  <c r="BP266" i="2" s="1"/>
  <c r="BM93" i="2"/>
  <c r="BL16" i="2"/>
  <c r="BL74" i="2"/>
  <c r="BK68" i="2"/>
  <c r="BO68" i="2" s="1"/>
  <c r="BL187" i="2"/>
  <c r="BL59" i="2"/>
  <c r="BL172" i="2"/>
  <c r="AQ55" i="2"/>
  <c r="R55" i="2"/>
  <c r="AR55" i="2" s="1"/>
  <c r="BM60" i="2"/>
  <c r="BL62" i="2"/>
  <c r="BK126" i="2"/>
  <c r="BP126" i="2" s="1"/>
  <c r="BL184" i="2"/>
  <c r="BM204" i="2"/>
  <c r="BL207" i="2"/>
  <c r="BJ209" i="2"/>
  <c r="BK209" i="2" s="1"/>
  <c r="BP209" i="2" s="1"/>
  <c r="BK208" i="2"/>
  <c r="BM208" i="2" s="1"/>
  <c r="BK301" i="2"/>
  <c r="BN301" i="2" s="1"/>
  <c r="AQ40" i="2"/>
  <c r="R40" i="2"/>
  <c r="AR40" i="2" s="1"/>
  <c r="BM66" i="2"/>
  <c r="BL7" i="2"/>
  <c r="BL19" i="2"/>
  <c r="BL239" i="2"/>
  <c r="AQ255" i="2"/>
  <c r="R255" i="2"/>
  <c r="AR255" i="2" s="1"/>
  <c r="BL22" i="2"/>
  <c r="BM232" i="2"/>
  <c r="AQ357" i="2"/>
  <c r="R357" i="2"/>
  <c r="AR357" i="2" s="1"/>
  <c r="AQ85" i="2"/>
  <c r="R85" i="2"/>
  <c r="AR85" i="2" s="1"/>
  <c r="BM54" i="2"/>
  <c r="BL56" i="2"/>
  <c r="BL86" i="2"/>
  <c r="BN85" i="2"/>
  <c r="BM36" i="2"/>
  <c r="BL38" i="2"/>
  <c r="BK193" i="2"/>
  <c r="BP193" i="2" s="1"/>
  <c r="BK49" i="2"/>
  <c r="BN49" i="2" s="1"/>
  <c r="BL92" i="2"/>
  <c r="BL47" i="2"/>
  <c r="BK11" i="2"/>
  <c r="AQ79" i="2"/>
  <c r="BK104" i="2"/>
  <c r="BO104" i="2" s="1"/>
  <c r="R107" i="2"/>
  <c r="AR107" i="2" s="1"/>
  <c r="BJ114" i="2"/>
  <c r="BK114" i="2" s="1"/>
  <c r="BP114" i="2" s="1"/>
  <c r="BK113" i="2"/>
  <c r="BJ118" i="2"/>
  <c r="BK118" i="2" s="1"/>
  <c r="BP118" i="2" s="1"/>
  <c r="AW122" i="2"/>
  <c r="BK154" i="2"/>
  <c r="BP154" i="2" s="1"/>
  <c r="R159" i="2"/>
  <c r="AR159" i="2" s="1"/>
  <c r="BK199" i="2"/>
  <c r="BO199" i="2" s="1"/>
  <c r="AV266" i="2"/>
  <c r="BK309" i="2"/>
  <c r="BP309" i="2" s="1"/>
  <c r="BK334" i="2"/>
  <c r="BP334" i="2" s="1"/>
  <c r="AQ238" i="2"/>
  <c r="R238" i="2"/>
  <c r="AR238" i="2" s="1"/>
  <c r="BK178" i="2"/>
  <c r="BP178" i="2" s="1"/>
  <c r="BK195" i="2"/>
  <c r="BO195" i="2" s="1"/>
  <c r="BK265" i="2"/>
  <c r="BL354" i="2"/>
  <c r="R18" i="2"/>
  <c r="AR18" i="2" s="1"/>
  <c r="BK96" i="2"/>
  <c r="BL291" i="2"/>
  <c r="BK350" i="2"/>
  <c r="BP350" i="2" s="1"/>
  <c r="R21" i="2"/>
  <c r="AR21" i="2" s="1"/>
  <c r="R151" i="2"/>
  <c r="AR151" i="2" s="1"/>
  <c r="BM181" i="2"/>
  <c r="BK89" i="2"/>
  <c r="BO89" i="2" s="1"/>
  <c r="R131" i="2"/>
  <c r="AR131" i="2" s="1"/>
  <c r="BK83" i="2"/>
  <c r="BO83" i="2" s="1"/>
  <c r="BK217" i="2"/>
  <c r="BP217" i="2" s="1"/>
  <c r="AW266" i="2"/>
  <c r="BK270" i="2"/>
  <c r="BN270" i="2" s="1"/>
  <c r="BK308" i="2"/>
  <c r="BM308" i="2" s="1"/>
  <c r="BK311" i="2"/>
  <c r="BL77" i="2"/>
  <c r="BK356" i="2"/>
  <c r="BP356" i="2" s="1"/>
  <c r="BK192" i="2"/>
  <c r="BM192" i="2" s="1"/>
  <c r="BL71" i="2"/>
  <c r="BK149" i="2"/>
  <c r="BM149" i="2" s="1"/>
  <c r="R319" i="2"/>
  <c r="AR319" i="2" s="1"/>
  <c r="AQ319" i="2"/>
  <c r="BL195" i="2"/>
  <c r="BL65" i="2"/>
  <c r="BL124" i="2"/>
  <c r="R73" i="2"/>
  <c r="AR73" i="2" s="1"/>
  <c r="BK95" i="2"/>
  <c r="BO95" i="2" s="1"/>
  <c r="BK194" i="2"/>
  <c r="BN194" i="2" s="1"/>
  <c r="BK221" i="2"/>
  <c r="BP221" i="2" s="1"/>
  <c r="BK246" i="2"/>
  <c r="BN246" i="2" s="1"/>
  <c r="BK253" i="2"/>
  <c r="BI254" i="2"/>
  <c r="BK272" i="2"/>
  <c r="BP272" i="2" s="1"/>
  <c r="BK254" i="2"/>
  <c r="BP254" i="2" s="1"/>
  <c r="BK251" i="2"/>
  <c r="BP251" i="2" s="1"/>
  <c r="R252" i="2"/>
  <c r="AR252" i="2" s="1"/>
  <c r="R270" i="2"/>
  <c r="AR270" i="2" s="1"/>
  <c r="BL101" i="2"/>
  <c r="R226" i="2"/>
  <c r="AR226" i="2" s="1"/>
  <c r="BL231" i="2"/>
  <c r="BK250" i="2"/>
  <c r="BM250" i="2" s="1"/>
  <c r="AV122" i="2"/>
  <c r="R61" i="2"/>
  <c r="AR61" i="2" s="1"/>
  <c r="BL80" i="2"/>
  <c r="AW178" i="2"/>
  <c r="R198" i="2"/>
  <c r="AR198" i="2" s="1"/>
  <c r="BK216" i="2"/>
  <c r="R310" i="2"/>
  <c r="AR310" i="2" s="1"/>
  <c r="BK315" i="2"/>
  <c r="BP315" i="2" s="1"/>
  <c r="BK177" i="2"/>
  <c r="R12" i="2"/>
  <c r="AR12" i="2" s="1"/>
  <c r="BK106" i="2"/>
  <c r="BP106" i="2" s="1"/>
  <c r="BK296" i="2"/>
  <c r="BM296" i="2" s="1"/>
  <c r="R27" i="2"/>
  <c r="AR27" i="2" s="1"/>
  <c r="BK109" i="2"/>
  <c r="BK287" i="2"/>
  <c r="AW359" i="2"/>
  <c r="R6" i="2"/>
  <c r="AR6" i="2" s="1"/>
  <c r="BK155" i="2"/>
  <c r="BN155" i="2" s="1"/>
  <c r="AW158" i="2"/>
  <c r="BL108" i="2"/>
  <c r="BM105" i="2"/>
  <c r="BL41" i="2"/>
  <c r="BM305" i="2"/>
  <c r="BL307" i="2"/>
  <c r="BM102" i="2"/>
  <c r="BJ110" i="2"/>
  <c r="BK110" i="2" s="1"/>
  <c r="BP110" i="2" s="1"/>
  <c r="BK134" i="2"/>
  <c r="BP134" i="2" s="1"/>
  <c r="R190" i="2"/>
  <c r="AR190" i="2" s="1"/>
  <c r="BK198" i="2"/>
  <c r="BN198" i="2" s="1"/>
  <c r="R214" i="2"/>
  <c r="AR214" i="2" s="1"/>
  <c r="BK244" i="2"/>
  <c r="AV297" i="2"/>
  <c r="BM326" i="2"/>
  <c r="BL329" i="2"/>
  <c r="BL335" i="2"/>
  <c r="BK234" i="2"/>
  <c r="BN234" i="2" s="1"/>
  <c r="BK355" i="2"/>
  <c r="BM355" i="2" s="1"/>
  <c r="BL191" i="2"/>
  <c r="AQ210" i="2"/>
  <c r="R210" i="2"/>
  <c r="AR210" i="2" s="1"/>
  <c r="AW106" i="2"/>
  <c r="BK173" i="2"/>
  <c r="R322" i="2"/>
  <c r="AR322" i="2" s="1"/>
  <c r="AQ322" i="2"/>
  <c r="BK220" i="2"/>
  <c r="BK257" i="2"/>
  <c r="BP257" i="2" s="1"/>
  <c r="AV158" i="2"/>
  <c r="BK224" i="2"/>
  <c r="BM224" i="2" s="1"/>
  <c r="BK175" i="2"/>
  <c r="BN175" i="2" s="1"/>
  <c r="BM200" i="2"/>
  <c r="BL203" i="2"/>
  <c r="BK44" i="2"/>
  <c r="BO44" i="2" s="1"/>
  <c r="BL83" i="2"/>
  <c r="AV126" i="2"/>
  <c r="BK133" i="2"/>
  <c r="BM133" i="2" s="1"/>
  <c r="AQ202" i="2"/>
  <c r="BL243" i="2"/>
  <c r="BL168" i="2"/>
  <c r="BL215" i="2"/>
  <c r="BL252" i="2"/>
  <c r="BK342" i="2"/>
  <c r="BN342" i="2" s="1"/>
  <c r="BL144" i="2"/>
  <c r="AV257" i="2"/>
  <c r="BK318" i="2"/>
  <c r="BP318" i="2" s="1"/>
  <c r="BK130" i="2"/>
  <c r="AW257" i="2"/>
  <c r="BK226" i="2"/>
  <c r="BN226" i="2" s="1"/>
  <c r="BK179" i="2"/>
  <c r="BN179" i="2" s="1"/>
  <c r="AV197" i="2"/>
  <c r="AW290" i="2"/>
  <c r="BK300" i="2"/>
  <c r="BK327" i="2"/>
  <c r="BP327" i="2" s="1"/>
  <c r="BJ337" i="2"/>
  <c r="BK337" i="2" s="1"/>
  <c r="BP337" i="2" s="1"/>
  <c r="BK336" i="2"/>
  <c r="BK320" i="2"/>
  <c r="BJ321" i="2"/>
  <c r="BK321" i="2" s="1"/>
  <c r="BP321" i="2" s="1"/>
  <c r="BK159" i="2"/>
  <c r="BN159" i="2" s="1"/>
  <c r="BP197" i="2"/>
  <c r="R335" i="2"/>
  <c r="AR335" i="2" s="1"/>
  <c r="AQ335" i="2"/>
  <c r="BK215" i="2"/>
  <c r="BO215" i="2" s="1"/>
  <c r="AQ273" i="2"/>
  <c r="R273" i="2"/>
  <c r="AR273" i="2" s="1"/>
  <c r="AW205" i="2"/>
  <c r="BK239" i="2"/>
  <c r="BO239" i="2" s="1"/>
  <c r="BL348" i="2"/>
  <c r="AV178" i="2"/>
  <c r="AV217" i="2"/>
  <c r="R285" i="2"/>
  <c r="AR285" i="2" s="1"/>
  <c r="R291" i="2"/>
  <c r="AR291" i="2" s="1"/>
  <c r="AQ291" i="2"/>
  <c r="BK214" i="2"/>
  <c r="BN214" i="2" s="1"/>
  <c r="R234" i="2"/>
  <c r="AR234" i="2" s="1"/>
  <c r="BJ260" i="2"/>
  <c r="BK260" i="2" s="1"/>
  <c r="BP260" i="2" s="1"/>
  <c r="BK259" i="2"/>
  <c r="BI293" i="2"/>
  <c r="BK293" i="2" s="1"/>
  <c r="BP293" i="2" s="1"/>
  <c r="BK292" i="2"/>
  <c r="BM292" i="2" s="1"/>
  <c r="BK289" i="2"/>
  <c r="BM289" i="2" s="1"/>
  <c r="R354" i="2"/>
  <c r="AR354" i="2" s="1"/>
  <c r="AQ354" i="2"/>
  <c r="BK137" i="2"/>
  <c r="BK229" i="2"/>
  <c r="BP229" i="2" s="1"/>
  <c r="BK262" i="2"/>
  <c r="BK273" i="2"/>
  <c r="BN273" i="2" s="1"/>
  <c r="AW300" i="2"/>
  <c r="BK312" i="2"/>
  <c r="BP312" i="2" s="1"/>
  <c r="AW318" i="2"/>
  <c r="BK331" i="2"/>
  <c r="BP331" i="2" s="1"/>
  <c r="R301" i="2"/>
  <c r="AR301" i="2" s="1"/>
  <c r="AQ301" i="2"/>
  <c r="BK252" i="2"/>
  <c r="BN252" i="2" s="1"/>
  <c r="AV260" i="2"/>
  <c r="R294" i="2"/>
  <c r="AR294" i="2" s="1"/>
  <c r="BK313" i="2"/>
  <c r="BN313" i="2" s="1"/>
  <c r="R332" i="2"/>
  <c r="AR332" i="2" s="1"/>
  <c r="BK341" i="2"/>
  <c r="BP341" i="2" s="1"/>
  <c r="R348" i="2"/>
  <c r="AR348" i="2" s="1"/>
  <c r="AW260" i="2"/>
  <c r="BK340" i="2"/>
  <c r="BK360" i="2"/>
  <c r="BN360" i="2" s="1"/>
  <c r="BM256" i="2"/>
  <c r="BL258" i="2"/>
  <c r="BJ303" i="2"/>
  <c r="BK303" i="2" s="1"/>
  <c r="BP303" i="2" s="1"/>
  <c r="BK302" i="2"/>
  <c r="BL360" i="2"/>
  <c r="BL298" i="2"/>
  <c r="AV350" i="2"/>
  <c r="R246" i="2"/>
  <c r="AR246" i="2" s="1"/>
  <c r="BL345" i="2"/>
  <c r="R345" i="2"/>
  <c r="AR345" i="2" s="1"/>
  <c r="AQ345" i="2"/>
  <c r="BL363" i="2"/>
  <c r="AV245" i="2"/>
  <c r="BL279" i="2"/>
  <c r="AV359" i="2"/>
  <c r="AV356" i="2"/>
  <c r="BJ359" i="2"/>
  <c r="BK359" i="2" s="1"/>
  <c r="BP359" i="2" s="1"/>
  <c r="BK358" i="2"/>
  <c r="BM358" i="2" s="1"/>
  <c r="AW278" i="2"/>
  <c r="BK310" i="2"/>
  <c r="BN310" i="2" s="1"/>
  <c r="AV321" i="2"/>
  <c r="AW356" i="2"/>
  <c r="BK274" i="2"/>
  <c r="BM274" i="2" s="1"/>
  <c r="BJ284" i="2"/>
  <c r="BK284" i="2" s="1"/>
  <c r="BP284" i="2" s="1"/>
  <c r="BK283" i="2"/>
  <c r="BK322" i="2"/>
  <c r="BN322" i="2" s="1"/>
  <c r="BJ324" i="2"/>
  <c r="BK324" i="2" s="1"/>
  <c r="BP324" i="2" s="1"/>
  <c r="BK323" i="2"/>
  <c r="BK330" i="2"/>
  <c r="BM330" i="2" s="1"/>
  <c r="BL128" i="2" l="1"/>
  <c r="BL276" i="2"/>
  <c r="BL235" i="2"/>
  <c r="BM311" i="2"/>
  <c r="BL313" i="2"/>
  <c r="BM340" i="2"/>
  <c r="BL342" i="2"/>
  <c r="BL270" i="2"/>
  <c r="BL322" i="2"/>
  <c r="BM320" i="2"/>
  <c r="BP287" i="2"/>
  <c r="BL288" i="2"/>
  <c r="BQ277" i="2" s="1"/>
  <c r="BL160" i="2"/>
  <c r="BL180" i="2"/>
  <c r="BM177" i="2"/>
  <c r="BM216" i="2"/>
  <c r="BL219" i="2"/>
  <c r="BL227" i="2"/>
  <c r="BM323" i="2"/>
  <c r="BL325" i="2"/>
  <c r="BL211" i="2"/>
  <c r="BL156" i="2"/>
  <c r="BL120" i="2"/>
  <c r="BM113" i="2"/>
  <c r="BL116" i="2"/>
  <c r="BP300" i="2"/>
  <c r="BL301" i="2"/>
  <c r="BM96" i="2"/>
  <c r="BL98" i="2"/>
  <c r="BL351" i="2"/>
  <c r="BM11" i="2"/>
  <c r="BL13" i="2"/>
  <c r="BL366" i="2" s="1"/>
  <c r="G34" i="2" s="1"/>
  <c r="BQ38" i="2"/>
  <c r="BM283" i="2"/>
  <c r="BL285" i="2"/>
  <c r="BL339" i="2"/>
  <c r="BM336" i="2"/>
  <c r="BL136" i="2"/>
  <c r="BM262" i="2"/>
  <c r="BL264" i="2"/>
  <c r="BM253" i="2"/>
  <c r="BL255" i="2"/>
  <c r="BL223" i="2"/>
  <c r="BM220" i="2"/>
  <c r="BL357" i="2"/>
  <c r="BL95" i="2"/>
  <c r="BL310" i="2"/>
  <c r="BM173" i="2"/>
  <c r="BL176" i="2"/>
  <c r="BL104" i="2"/>
  <c r="BL50" i="2"/>
  <c r="BM259" i="2"/>
  <c r="BL261" i="2"/>
  <c r="BL152" i="2"/>
  <c r="BQ149" i="2" s="1"/>
  <c r="BL304" i="2"/>
  <c r="BM302" i="2"/>
  <c r="BM109" i="2"/>
  <c r="BL112" i="2"/>
  <c r="BL295" i="2"/>
  <c r="BM244" i="2"/>
  <c r="BL246" i="2"/>
  <c r="BL89" i="2"/>
  <c r="BM265" i="2"/>
  <c r="BL267" i="2"/>
  <c r="BL273" i="2"/>
  <c r="BM137" i="2"/>
  <c r="BL140" i="2"/>
  <c r="BL68" i="2"/>
  <c r="BP130" i="2"/>
  <c r="BL132" i="2"/>
  <c r="BQ105" i="2" s="1"/>
  <c r="BL316" i="2"/>
  <c r="BL199" i="2"/>
  <c r="BQ192" i="2" s="1"/>
  <c r="BQ63" i="2"/>
  <c r="BL44" i="2"/>
  <c r="BL368" i="2" l="1"/>
  <c r="BQ244" i="2"/>
  <c r="BQ7" i="2"/>
  <c r="BQ320" i="2"/>
  <c r="BL369" i="2"/>
</calcChain>
</file>

<file path=xl/sharedStrings.xml><?xml version="1.0" encoding="utf-8"?>
<sst xmlns="http://schemas.openxmlformats.org/spreadsheetml/2006/main" count="1626" uniqueCount="173">
  <si>
    <t>A</t>
  </si>
  <si>
    <t>B</t>
  </si>
  <si>
    <t>C</t>
  </si>
  <si>
    <t>F</t>
  </si>
  <si>
    <t>G</t>
  </si>
  <si>
    <t>H</t>
  </si>
  <si>
    <t>I</t>
  </si>
  <si>
    <t>% Acres</t>
  </si>
  <si>
    <t>Overall %</t>
  </si>
  <si>
    <t>Weighted</t>
  </si>
  <si>
    <t>in</t>
  </si>
  <si>
    <t>Well</t>
  </si>
  <si>
    <t>for Well</t>
  </si>
  <si>
    <t>Wt Avg</t>
  </si>
  <si>
    <t>Wt. Avg.</t>
  </si>
  <si>
    <t>Wt. Avg.Est</t>
  </si>
  <si>
    <t>Wt. Avg Act</t>
  </si>
  <si>
    <t>Wt. Avg</t>
  </si>
  <si>
    <t>Wt Avg Act</t>
  </si>
  <si>
    <t>Change</t>
  </si>
  <si>
    <t>%</t>
  </si>
  <si>
    <t>CRD</t>
  </si>
  <si>
    <t>District</t>
  </si>
  <si>
    <t>County</t>
  </si>
  <si>
    <t>Land Use</t>
  </si>
  <si>
    <t>Depth</t>
  </si>
  <si>
    <t>8-Yr. LNI</t>
  </si>
  <si>
    <t>Value</t>
  </si>
  <si>
    <t xml:space="preserve">Value </t>
  </si>
  <si>
    <t>Value (11.15)</t>
  </si>
  <si>
    <t>Value (10.96)</t>
  </si>
  <si>
    <t>Value (11.00)</t>
  </si>
  <si>
    <t>NG</t>
  </si>
  <si>
    <t>DR</t>
  </si>
  <si>
    <t>IR</t>
  </si>
  <si>
    <t>TG</t>
  </si>
  <si>
    <t>10</t>
  </si>
  <si>
    <t>Northwest</t>
  </si>
  <si>
    <t>Cheyenne</t>
  </si>
  <si>
    <t>Native Grass</t>
  </si>
  <si>
    <t>Dry Land</t>
  </si>
  <si>
    <t>Irrigated Land</t>
  </si>
  <si>
    <t>Decatur</t>
  </si>
  <si>
    <t xml:space="preserve"> </t>
  </si>
  <si>
    <t>Graham</t>
  </si>
  <si>
    <t>Graham well depth changed from 200 to 100 for the 2021 Values</t>
  </si>
  <si>
    <t>Norton</t>
  </si>
  <si>
    <t xml:space="preserve">Rawlins </t>
  </si>
  <si>
    <t>Sheridan</t>
  </si>
  <si>
    <t>Sherman</t>
  </si>
  <si>
    <t>Thomas</t>
  </si>
  <si>
    <t>* Irrigated value is for the most common well depth in the county.</t>
  </si>
  <si>
    <t>Estimated Statewide Change</t>
  </si>
  <si>
    <t>Total Statewide Change</t>
  </si>
  <si>
    <t>20</t>
  </si>
  <si>
    <t>West Central</t>
  </si>
  <si>
    <t>Gove</t>
  </si>
  <si>
    <t>Greeley</t>
  </si>
  <si>
    <t>Lane</t>
  </si>
  <si>
    <t>Logan</t>
  </si>
  <si>
    <t>Ness</t>
  </si>
  <si>
    <t>Scott</t>
  </si>
  <si>
    <t>Trego</t>
  </si>
  <si>
    <t>Wallace</t>
  </si>
  <si>
    <t>Wichita</t>
  </si>
  <si>
    <t>30</t>
  </si>
  <si>
    <t>Southwest</t>
  </si>
  <si>
    <t>Clark</t>
  </si>
  <si>
    <t>Finney</t>
  </si>
  <si>
    <t>Ford</t>
  </si>
  <si>
    <t>Grant</t>
  </si>
  <si>
    <t>Gray</t>
  </si>
  <si>
    <t>Hamilton</t>
  </si>
  <si>
    <t>Haskell</t>
  </si>
  <si>
    <t>Hodgeman</t>
  </si>
  <si>
    <t>Kearny</t>
  </si>
  <si>
    <t>Meade</t>
  </si>
  <si>
    <t>Morton</t>
  </si>
  <si>
    <t>Seward</t>
  </si>
  <si>
    <t>Stanton</t>
  </si>
  <si>
    <t>Stevens</t>
  </si>
  <si>
    <t>Stevens well depth changed from 400 to 500 for the 2021 Values</t>
  </si>
  <si>
    <t>40</t>
  </si>
  <si>
    <t>North Central</t>
  </si>
  <si>
    <t>Clay</t>
  </si>
  <si>
    <t>Tame Grass</t>
  </si>
  <si>
    <t>Cloud</t>
  </si>
  <si>
    <t>Jewell</t>
  </si>
  <si>
    <t>Mitchell</t>
  </si>
  <si>
    <t>Osborne</t>
  </si>
  <si>
    <t>Ottawa</t>
  </si>
  <si>
    <t>Phillips</t>
  </si>
  <si>
    <t>Republic</t>
  </si>
  <si>
    <t xml:space="preserve">Republic </t>
  </si>
  <si>
    <t>Rooks</t>
  </si>
  <si>
    <t>Smith</t>
  </si>
  <si>
    <t>Washington</t>
  </si>
  <si>
    <t>50</t>
  </si>
  <si>
    <t>Central</t>
  </si>
  <si>
    <t>Barton</t>
  </si>
  <si>
    <t>Dickinson</t>
  </si>
  <si>
    <t>Ellis</t>
  </si>
  <si>
    <t>Ellsworth</t>
  </si>
  <si>
    <t>Lincoln</t>
  </si>
  <si>
    <t>Marion</t>
  </si>
  <si>
    <t>McPherson</t>
  </si>
  <si>
    <t>Rice</t>
  </si>
  <si>
    <t>Rush</t>
  </si>
  <si>
    <t>Russell</t>
  </si>
  <si>
    <t>Saline</t>
  </si>
  <si>
    <t>60</t>
  </si>
  <si>
    <t>South Central</t>
  </si>
  <si>
    <t>Barber</t>
  </si>
  <si>
    <t>Comanche</t>
  </si>
  <si>
    <t>Edwards</t>
  </si>
  <si>
    <t>Harper</t>
  </si>
  <si>
    <t>Harvey</t>
  </si>
  <si>
    <t>Kingman</t>
  </si>
  <si>
    <t>Kiowa</t>
  </si>
  <si>
    <t>Pawnee</t>
  </si>
  <si>
    <t>Pratt</t>
  </si>
  <si>
    <t>Reno</t>
  </si>
  <si>
    <t>Sedgwick</t>
  </si>
  <si>
    <t>Stafford</t>
  </si>
  <si>
    <t>Sumner</t>
  </si>
  <si>
    <t>70</t>
  </si>
  <si>
    <t>Northeast</t>
  </si>
  <si>
    <t>Atchison</t>
  </si>
  <si>
    <t>Brown</t>
  </si>
  <si>
    <t>Doniphan</t>
  </si>
  <si>
    <t>Jackson</t>
  </si>
  <si>
    <t>Jefferson</t>
  </si>
  <si>
    <t>Leavenworth</t>
  </si>
  <si>
    <t>Marshall</t>
  </si>
  <si>
    <t>Nemaha</t>
  </si>
  <si>
    <t>Pottawatomie</t>
  </si>
  <si>
    <t>Riley</t>
  </si>
  <si>
    <t>Wyandotte</t>
  </si>
  <si>
    <t>80</t>
  </si>
  <si>
    <t>East Central</t>
  </si>
  <si>
    <t>Anderson</t>
  </si>
  <si>
    <t>Chase</t>
  </si>
  <si>
    <t>Update formula in Col BJ</t>
  </si>
  <si>
    <t>Coffey</t>
  </si>
  <si>
    <t>Douglas</t>
  </si>
  <si>
    <t>Franklin</t>
  </si>
  <si>
    <t>Geary</t>
  </si>
  <si>
    <t>Johnson</t>
  </si>
  <si>
    <t>Linn</t>
  </si>
  <si>
    <t>Lyon</t>
  </si>
  <si>
    <t>Miami</t>
  </si>
  <si>
    <t>Morris</t>
  </si>
  <si>
    <t>Osage</t>
  </si>
  <si>
    <t>Shawnee</t>
  </si>
  <si>
    <t>Wabaunsee</t>
  </si>
  <si>
    <t>90</t>
  </si>
  <si>
    <t>Southeast</t>
  </si>
  <si>
    <t xml:space="preserve">Allen </t>
  </si>
  <si>
    <t>Allen</t>
  </si>
  <si>
    <t>Bourbon</t>
  </si>
  <si>
    <t>Butler</t>
  </si>
  <si>
    <t>Chautauqua</t>
  </si>
  <si>
    <t>Cherokee</t>
  </si>
  <si>
    <t>Cowley</t>
  </si>
  <si>
    <t>Crawford</t>
  </si>
  <si>
    <t>Elk</t>
  </si>
  <si>
    <t>Greenwood</t>
  </si>
  <si>
    <t>Labette</t>
  </si>
  <si>
    <t>Montgomery</t>
  </si>
  <si>
    <t>Neosho</t>
  </si>
  <si>
    <t>Wilson</t>
  </si>
  <si>
    <t>Woodson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</si>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</sst>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%;[Red]\-0%"/>
    <numFmt numFmtId="165" formatCode="&quot;$&quot;#,##0"/>
    <numFmt numFmtId="166" formatCode="&quot;$&quot;#,##0.00"/>
    <numFmt numFmtId="167" formatCode="0.00_);[Red]\(0.00\)"/>
    <numFmt numFmtId="168" formatCode="0%;[Red]\(\-0%\)"/>
    <numFmt numFmtId="169" formatCode="000"/>
    <numFmt numFmtId="170" formatCode="0.0%"/>
    <numFmt numFmtId="171" formatCode="0_);[Red]\(0\)"/>
  </numFmts>
  <fonts count="10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0"/>
      <name val="Geneva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New York"/>
    </font>
    <font>
      <b/>
      <sz val="14"/>
      <name val="Times New Roman"/>
      <family val="1"/>
    </font>
    <font>
      <b/>
      <sz val="14"/>
      <name val="Geneva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/>
      <right style="double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theme="1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theme="1"/>
      </right>
      <top style="double">
        <color theme="1"/>
      </top>
      <bottom/>
      <diagonal/>
    </border>
    <border>
      <left style="thin">
        <color theme="1"/>
      </left>
      <right style="double">
        <color indexed="64"/>
      </right>
      <top style="double">
        <color theme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double">
        <color indexed="64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theme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double">
        <color indexed="64"/>
      </left>
      <right/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9" fontId="6" fillId="0" borderId="0">
      <alignment horizontal="center"/>
    </xf>
  </cellStyleXfs>
  <cellXfs count="247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0" fontId="4" fillId="0" borderId="11" xfId="1" applyFont="1" applyBorder="1"/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165" fontId="4" fillId="0" borderId="9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7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2" fontId="4" fillId="0" borderId="20" xfId="1" applyNumberFormat="1" applyFont="1" applyBorder="1" applyAlignment="1">
      <alignment horizontal="center" wrapText="1"/>
    </xf>
    <xf numFmtId="2" fontId="4" fillId="0" borderId="15" xfId="1" applyNumberFormat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165" fontId="4" fillId="0" borderId="16" xfId="1" applyNumberFormat="1" applyFont="1" applyBorder="1" applyAlignment="1">
      <alignment horizontal="center" wrapText="1"/>
    </xf>
    <xf numFmtId="165" fontId="4" fillId="0" borderId="15" xfId="1" applyNumberFormat="1" applyFont="1" applyBorder="1" applyAlignment="1">
      <alignment horizontal="center" wrapText="1"/>
    </xf>
    <xf numFmtId="165" fontId="4" fillId="0" borderId="21" xfId="1" applyNumberFormat="1" applyFont="1" applyBorder="1" applyAlignment="1">
      <alignment horizontal="center" wrapText="1"/>
    </xf>
    <xf numFmtId="0" fontId="4" fillId="0" borderId="22" xfId="1" applyFont="1" applyBorder="1" applyAlignment="1">
      <alignment horizontal="center" wrapText="1"/>
    </xf>
    <xf numFmtId="0" fontId="4" fillId="0" borderId="23" xfId="1" applyFont="1" applyBorder="1" applyAlignment="1">
      <alignment horizontal="center" wrapText="1"/>
    </xf>
    <xf numFmtId="0" fontId="4" fillId="0" borderId="15" xfId="1" applyFont="1" applyBorder="1"/>
    <xf numFmtId="0" fontId="5" fillId="0" borderId="15" xfId="1" applyFont="1" applyBorder="1"/>
    <xf numFmtId="0" fontId="2" fillId="0" borderId="15" xfId="1" applyBorder="1"/>
    <xf numFmtId="49" fontId="5" fillId="0" borderId="15" xfId="1" applyNumberFormat="1" applyFont="1" applyBorder="1" applyAlignment="1">
      <alignment horizontal="center"/>
    </xf>
    <xf numFmtId="0" fontId="4" fillId="0" borderId="0" xfId="1" applyFont="1" applyAlignment="1">
      <alignment horizontal="left"/>
    </xf>
    <xf numFmtId="9" fontId="4" fillId="0" borderId="9" xfId="1" applyNumberFormat="1" applyFont="1" applyBorder="1" applyAlignment="1">
      <alignment horizontal="right"/>
    </xf>
    <xf numFmtId="0" fontId="4" fillId="0" borderId="24" xfId="1" applyFont="1" applyBorder="1" applyAlignment="1">
      <alignment horizontal="center"/>
    </xf>
    <xf numFmtId="2" fontId="4" fillId="0" borderId="25" xfId="1" applyNumberFormat="1" applyFont="1" applyBorder="1"/>
    <xf numFmtId="2" fontId="4" fillId="0" borderId="10" xfId="1" applyNumberFormat="1" applyFont="1" applyBorder="1"/>
    <xf numFmtId="166" fontId="4" fillId="0" borderId="11" xfId="1" applyNumberFormat="1" applyFont="1" applyBorder="1"/>
    <xf numFmtId="166" fontId="4" fillId="0" borderId="0" xfId="1" applyNumberFormat="1" applyFont="1"/>
    <xf numFmtId="166" fontId="4" fillId="0" borderId="10" xfId="1" applyNumberFormat="1" applyFont="1" applyBorder="1"/>
    <xf numFmtId="166" fontId="4" fillId="0" borderId="12" xfId="1" applyNumberFormat="1" applyFont="1" applyBorder="1"/>
    <xf numFmtId="166" fontId="4" fillId="0" borderId="26" xfId="1" applyNumberFormat="1" applyFont="1" applyBorder="1"/>
    <xf numFmtId="166" fontId="4" fillId="0" borderId="27" xfId="1" applyNumberFormat="1" applyFont="1" applyBorder="1"/>
    <xf numFmtId="166" fontId="4" fillId="0" borderId="1" xfId="1" applyNumberFormat="1" applyFont="1" applyBorder="1"/>
    <xf numFmtId="2" fontId="4" fillId="0" borderId="28" xfId="1" applyNumberFormat="1" applyFont="1" applyBorder="1"/>
    <xf numFmtId="2" fontId="4" fillId="0" borderId="29" xfId="1" applyNumberFormat="1" applyFont="1" applyBorder="1"/>
    <xf numFmtId="2" fontId="4" fillId="0" borderId="0" xfId="1" applyNumberFormat="1" applyFont="1"/>
    <xf numFmtId="2" fontId="4" fillId="0" borderId="0" xfId="1" applyNumberFormat="1" applyFont="1" applyAlignment="1">
      <alignment horizontal="right"/>
    </xf>
    <xf numFmtId="167" fontId="4" fillId="0" borderId="0" xfId="1" applyNumberFormat="1" applyFont="1" applyAlignment="1">
      <alignment horizontal="right"/>
    </xf>
    <xf numFmtId="165" fontId="4" fillId="0" borderId="9" xfId="1" applyNumberFormat="1" applyFont="1" applyBorder="1"/>
    <xf numFmtId="165" fontId="4" fillId="0" borderId="10" xfId="1" applyNumberFormat="1" applyFont="1" applyBorder="1"/>
    <xf numFmtId="165" fontId="4" fillId="0" borderId="24" xfId="1" applyNumberFormat="1" applyFont="1" applyBorder="1"/>
    <xf numFmtId="165" fontId="4" fillId="0" borderId="30" xfId="1" applyNumberFormat="1" applyFont="1" applyBorder="1"/>
    <xf numFmtId="168" fontId="4" fillId="0" borderId="31" xfId="1" applyNumberFormat="1" applyFont="1" applyBorder="1"/>
    <xf numFmtId="168" fontId="4" fillId="0" borderId="14" xfId="1" applyNumberFormat="1" applyFont="1" applyBorder="1"/>
    <xf numFmtId="168" fontId="4" fillId="0" borderId="0" xfId="1" applyNumberFormat="1" applyFont="1"/>
    <xf numFmtId="168" fontId="4" fillId="0" borderId="32" xfId="1" applyNumberFormat="1" applyFont="1" applyBorder="1"/>
    <xf numFmtId="0" fontId="4" fillId="0" borderId="33" xfId="1" applyFont="1" applyBorder="1" applyAlignment="1">
      <alignment horizontal="center"/>
    </xf>
    <xf numFmtId="2" fontId="4" fillId="0" borderId="11" xfId="1" applyNumberFormat="1" applyFont="1" applyBorder="1"/>
    <xf numFmtId="2" fontId="4" fillId="0" borderId="12" xfId="1" applyNumberFormat="1" applyFont="1" applyBorder="1"/>
    <xf numFmtId="2" fontId="4" fillId="0" borderId="26" xfId="1" applyNumberFormat="1" applyFont="1" applyBorder="1"/>
    <xf numFmtId="2" fontId="4" fillId="0" borderId="27" xfId="1" applyNumberFormat="1" applyFont="1" applyBorder="1"/>
    <xf numFmtId="2" fontId="4" fillId="0" borderId="1" xfId="1" applyNumberFormat="1" applyFont="1" applyBorder="1"/>
    <xf numFmtId="0" fontId="4" fillId="0" borderId="9" xfId="1" applyFont="1" applyBorder="1"/>
    <xf numFmtId="165" fontId="4" fillId="0" borderId="33" xfId="1" applyNumberFormat="1" applyFont="1" applyBorder="1"/>
    <xf numFmtId="168" fontId="4" fillId="0" borderId="34" xfId="1" applyNumberFormat="1" applyFont="1" applyBorder="1"/>
    <xf numFmtId="168" fontId="4" fillId="0" borderId="11" xfId="1" applyNumberFormat="1" applyFont="1" applyBorder="1"/>
    <xf numFmtId="0" fontId="4" fillId="0" borderId="35" xfId="1" applyFont="1" applyBorder="1" applyAlignment="1">
      <alignment horizontal="left"/>
    </xf>
    <xf numFmtId="0" fontId="4" fillId="0" borderId="35" xfId="1" applyFont="1" applyBorder="1"/>
    <xf numFmtId="0" fontId="4" fillId="0" borderId="36" xfId="1" applyFont="1" applyBorder="1"/>
    <xf numFmtId="9" fontId="4" fillId="0" borderId="37" xfId="1" applyNumberFormat="1" applyFont="1" applyBorder="1" applyAlignment="1">
      <alignment horizontal="right"/>
    </xf>
    <xf numFmtId="0" fontId="4" fillId="0" borderId="38" xfId="1" applyFont="1" applyBorder="1" applyAlignment="1">
      <alignment horizontal="center"/>
    </xf>
    <xf numFmtId="9" fontId="4" fillId="0" borderId="35" xfId="1" applyNumberFormat="1" applyFont="1" applyBorder="1"/>
    <xf numFmtId="2" fontId="4" fillId="0" borderId="39" xfId="1" applyNumberFormat="1" applyFont="1" applyBorder="1"/>
    <xf numFmtId="2" fontId="4" fillId="0" borderId="36" xfId="1" applyNumberFormat="1" applyFont="1" applyBorder="1"/>
    <xf numFmtId="2" fontId="4" fillId="0" borderId="40" xfId="1" applyNumberFormat="1" applyFont="1" applyBorder="1"/>
    <xf numFmtId="2" fontId="4" fillId="0" borderId="35" xfId="1" applyNumberFormat="1" applyFont="1" applyBorder="1"/>
    <xf numFmtId="2" fontId="4" fillId="0" borderId="41" xfId="1" applyNumberFormat="1" applyFont="1" applyBorder="1"/>
    <xf numFmtId="166" fontId="4" fillId="0" borderId="41" xfId="1" applyNumberFormat="1" applyFont="1" applyBorder="1"/>
    <xf numFmtId="2" fontId="4" fillId="0" borderId="42" xfId="1" applyNumberFormat="1" applyFont="1" applyBorder="1"/>
    <xf numFmtId="2" fontId="4" fillId="0" borderId="43" xfId="1" applyNumberFormat="1" applyFont="1" applyBorder="1"/>
    <xf numFmtId="2" fontId="4" fillId="0" borderId="44" xfId="1" applyNumberFormat="1" applyFont="1" applyBorder="1"/>
    <xf numFmtId="2" fontId="4" fillId="0" borderId="45" xfId="1" applyNumberFormat="1" applyFont="1" applyBorder="1"/>
    <xf numFmtId="2" fontId="4" fillId="0" borderId="46" xfId="1" applyNumberFormat="1" applyFont="1" applyBorder="1"/>
    <xf numFmtId="2" fontId="4" fillId="0" borderId="35" xfId="1" applyNumberFormat="1" applyFont="1" applyBorder="1" applyAlignment="1">
      <alignment horizontal="right"/>
    </xf>
    <xf numFmtId="167" fontId="4" fillId="0" borderId="35" xfId="1" applyNumberFormat="1" applyFont="1" applyBorder="1" applyAlignment="1">
      <alignment horizontal="right"/>
    </xf>
    <xf numFmtId="0" fontId="4" fillId="0" borderId="37" xfId="1" applyFont="1" applyBorder="1"/>
    <xf numFmtId="165" fontId="4" fillId="0" borderId="36" xfId="1" applyNumberFormat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165" fontId="4" fillId="0" borderId="47" xfId="1" applyNumberFormat="1" applyFont="1" applyBorder="1"/>
    <xf numFmtId="168" fontId="4" fillId="0" borderId="48" xfId="1" applyNumberFormat="1" applyFont="1" applyBorder="1"/>
    <xf numFmtId="168" fontId="4" fillId="0" borderId="49" xfId="1" applyNumberFormat="1" applyFont="1" applyBorder="1"/>
    <xf numFmtId="168" fontId="4" fillId="0" borderId="35" xfId="1" applyNumberFormat="1" applyFont="1" applyBorder="1"/>
    <xf numFmtId="168" fontId="4" fillId="0" borderId="40" xfId="1" applyNumberFormat="1" applyFont="1" applyBorder="1"/>
    <xf numFmtId="9" fontId="4" fillId="0" borderId="0" xfId="1" applyNumberFormat="1" applyFont="1"/>
    <xf numFmtId="165" fontId="4" fillId="0" borderId="50" xfId="1" applyNumberFormat="1" applyFont="1" applyBorder="1"/>
    <xf numFmtId="165" fontId="4" fillId="0" borderId="51" xfId="1" applyNumberFormat="1" applyFont="1" applyBorder="1"/>
    <xf numFmtId="168" fontId="4" fillId="0" borderId="52" xfId="1" applyNumberFormat="1" applyFont="1" applyBorder="1"/>
    <xf numFmtId="0" fontId="2" fillId="0" borderId="35" xfId="1" applyBorder="1"/>
    <xf numFmtId="165" fontId="4" fillId="0" borderId="53" xfId="1" applyNumberFormat="1" applyFont="1" applyBorder="1"/>
    <xf numFmtId="169" fontId="4" fillId="0" borderId="5" xfId="2" applyFont="1" applyBorder="1" applyAlignment="1">
      <alignment horizontal="left"/>
    </xf>
    <xf numFmtId="169" fontId="4" fillId="0" borderId="10" xfId="2" applyFont="1" applyBorder="1" applyAlignment="1">
      <alignment horizontal="left"/>
    </xf>
    <xf numFmtId="169" fontId="4" fillId="0" borderId="11" xfId="2" applyFont="1" applyBorder="1" applyAlignment="1">
      <alignment horizontal="left"/>
    </xf>
    <xf numFmtId="169" fontId="4" fillId="0" borderId="40" xfId="2" applyFont="1" applyBorder="1" applyAlignment="1">
      <alignment horizontal="left"/>
    </xf>
    <xf numFmtId="168" fontId="4" fillId="2" borderId="0" xfId="1" applyNumberFormat="1" applyFont="1" applyFill="1"/>
    <xf numFmtId="0" fontId="4" fillId="0" borderId="54" xfId="1" applyFont="1" applyBorder="1" applyAlignment="1">
      <alignment horizontal="left"/>
    </xf>
    <xf numFmtId="0" fontId="4" fillId="0" borderId="55" xfId="1" applyFont="1" applyBorder="1" applyAlignment="1">
      <alignment horizontal="center"/>
    </xf>
    <xf numFmtId="0" fontId="4" fillId="0" borderId="56" xfId="1" applyFont="1" applyBorder="1"/>
    <xf numFmtId="0" fontId="4" fillId="0" borderId="57" xfId="1" applyFont="1" applyBorder="1"/>
    <xf numFmtId="0" fontId="4" fillId="0" borderId="58" xfId="1" applyFont="1" applyBorder="1"/>
    <xf numFmtId="9" fontId="4" fillId="0" borderId="59" xfId="1" applyNumberFormat="1" applyFont="1" applyBorder="1" applyAlignment="1">
      <alignment horizontal="right"/>
    </xf>
    <xf numFmtId="0" fontId="4" fillId="0" borderId="60" xfId="1" applyFont="1" applyBorder="1" applyAlignment="1">
      <alignment horizontal="center"/>
    </xf>
    <xf numFmtId="9" fontId="4" fillId="0" borderId="58" xfId="1" applyNumberFormat="1" applyFont="1" applyBorder="1"/>
    <xf numFmtId="2" fontId="4" fillId="0" borderId="61" xfId="1" applyNumberFormat="1" applyFont="1" applyBorder="1"/>
    <xf numFmtId="2" fontId="4" fillId="0" borderId="62" xfId="1" applyNumberFormat="1" applyFont="1" applyBorder="1"/>
    <xf numFmtId="2" fontId="4" fillId="0" borderId="57" xfId="1" applyNumberFormat="1" applyFont="1" applyBorder="1"/>
    <xf numFmtId="2" fontId="4" fillId="0" borderId="58" xfId="1" applyNumberFormat="1" applyFont="1" applyBorder="1"/>
    <xf numFmtId="2" fontId="4" fillId="0" borderId="63" xfId="1" applyNumberFormat="1" applyFont="1" applyBorder="1"/>
    <xf numFmtId="166" fontId="4" fillId="0" borderId="63" xfId="1" applyNumberFormat="1" applyFont="1" applyBorder="1"/>
    <xf numFmtId="2" fontId="4" fillId="0" borderId="64" xfId="1" applyNumberFormat="1" applyFont="1" applyBorder="1"/>
    <xf numFmtId="2" fontId="4" fillId="0" borderId="65" xfId="1" applyNumberFormat="1" applyFont="1" applyBorder="1"/>
    <xf numFmtId="2" fontId="4" fillId="0" borderId="66" xfId="1" applyNumberFormat="1" applyFont="1" applyBorder="1"/>
    <xf numFmtId="2" fontId="4" fillId="0" borderId="67" xfId="1" applyNumberFormat="1" applyFont="1" applyBorder="1"/>
    <xf numFmtId="2" fontId="4" fillId="0" borderId="68" xfId="1" applyNumberFormat="1" applyFont="1" applyBorder="1"/>
    <xf numFmtId="2" fontId="4" fillId="0" borderId="58" xfId="1" applyNumberFormat="1" applyFont="1" applyBorder="1" applyAlignment="1">
      <alignment horizontal="right"/>
    </xf>
    <xf numFmtId="2" fontId="4" fillId="0" borderId="54" xfId="1" applyNumberFormat="1" applyFont="1" applyBorder="1" applyAlignment="1">
      <alignment horizontal="right"/>
    </xf>
    <xf numFmtId="167" fontId="4" fillId="0" borderId="54" xfId="1" applyNumberFormat="1" applyFont="1" applyBorder="1" applyAlignment="1">
      <alignment horizontal="right"/>
    </xf>
    <xf numFmtId="0" fontId="4" fillId="0" borderId="54" xfId="1" applyFont="1" applyBorder="1"/>
    <xf numFmtId="0" fontId="4" fillId="0" borderId="55" xfId="1" applyFont="1" applyBorder="1"/>
    <xf numFmtId="0" fontId="4" fillId="0" borderId="69" xfId="1" applyFont="1" applyBorder="1"/>
    <xf numFmtId="165" fontId="4" fillId="0" borderId="69" xfId="1" applyNumberFormat="1" applyFont="1" applyBorder="1"/>
    <xf numFmtId="165" fontId="4" fillId="0" borderId="55" xfId="1" applyNumberFormat="1" applyFont="1" applyBorder="1"/>
    <xf numFmtId="165" fontId="4" fillId="0" borderId="70" xfId="1" applyNumberFormat="1" applyFont="1" applyBorder="1"/>
    <xf numFmtId="165" fontId="4" fillId="0" borderId="71" xfId="1" applyNumberFormat="1" applyFont="1" applyBorder="1"/>
    <xf numFmtId="2" fontId="4" fillId="0" borderId="72" xfId="1" applyNumberFormat="1" applyFont="1" applyBorder="1"/>
    <xf numFmtId="2" fontId="4" fillId="0" borderId="72" xfId="1" applyNumberFormat="1" applyFont="1" applyBorder="1" applyAlignment="1">
      <alignment horizontal="right"/>
    </xf>
    <xf numFmtId="167" fontId="4" fillId="0" borderId="72" xfId="1" applyNumberFormat="1" applyFont="1" applyBorder="1" applyAlignment="1">
      <alignment horizontal="right"/>
    </xf>
    <xf numFmtId="0" fontId="4" fillId="0" borderId="72" xfId="1" applyFont="1" applyBorder="1"/>
    <xf numFmtId="165" fontId="4" fillId="0" borderId="72" xfId="1" applyNumberFormat="1" applyFont="1" applyBorder="1"/>
    <xf numFmtId="165" fontId="4" fillId="0" borderId="0" xfId="1" applyNumberFormat="1" applyFont="1"/>
    <xf numFmtId="0" fontId="2" fillId="0" borderId="0" xfId="1" applyAlignment="1">
      <alignment horizontal="center"/>
    </xf>
    <xf numFmtId="170" fontId="5" fillId="0" borderId="0" xfId="1" applyNumberFormat="1" applyFont="1"/>
    <xf numFmtId="170" fontId="4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left"/>
    </xf>
    <xf numFmtId="168" fontId="7" fillId="0" borderId="0" xfId="1" applyNumberFormat="1" applyFont="1"/>
    <xf numFmtId="9" fontId="7" fillId="0" borderId="0" xfId="1" applyNumberFormat="1" applyFont="1" applyAlignment="1">
      <alignment horizontal="left"/>
    </xf>
    <xf numFmtId="165" fontId="7" fillId="0" borderId="0" xfId="1" applyNumberFormat="1" applyFont="1" applyAlignment="1">
      <alignment horizontal="right"/>
    </xf>
    <xf numFmtId="2" fontId="2" fillId="0" borderId="0" xfId="1" applyNumberFormat="1"/>
    <xf numFmtId="2" fontId="7" fillId="0" borderId="0" xfId="1" applyNumberFormat="1" applyFont="1" applyAlignment="1">
      <alignment horizontal="right"/>
    </xf>
    <xf numFmtId="167" fontId="7" fillId="0" borderId="0" xfId="1" applyNumberFormat="1" applyFont="1" applyAlignment="1">
      <alignment horizontal="right"/>
    </xf>
    <xf numFmtId="9" fontId="7" fillId="0" borderId="0" xfId="1" applyNumberFormat="1" applyFont="1" applyAlignment="1">
      <alignment horizontal="right"/>
    </xf>
    <xf numFmtId="10" fontId="7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0" fontId="4" fillId="0" borderId="58" xfId="1" applyFont="1" applyBorder="1" applyAlignment="1">
      <alignment horizontal="center"/>
    </xf>
    <xf numFmtId="166" fontId="4" fillId="0" borderId="58" xfId="1" applyNumberFormat="1" applyFont="1" applyBorder="1"/>
    <xf numFmtId="2" fontId="7" fillId="0" borderId="58" xfId="1" applyNumberFormat="1" applyFont="1" applyBorder="1"/>
    <xf numFmtId="2" fontId="7" fillId="0" borderId="58" xfId="1" applyNumberFormat="1" applyFont="1" applyBorder="1" applyAlignment="1">
      <alignment horizontal="right"/>
    </xf>
    <xf numFmtId="167" fontId="7" fillId="0" borderId="58" xfId="1" applyNumberFormat="1" applyFont="1" applyBorder="1" applyAlignment="1">
      <alignment horizontal="right"/>
    </xf>
    <xf numFmtId="0" fontId="2" fillId="0" borderId="58" xfId="1" applyBorder="1"/>
    <xf numFmtId="9" fontId="7" fillId="0" borderId="58" xfId="1" applyNumberFormat="1" applyFont="1" applyBorder="1" applyAlignment="1">
      <alignment horizontal="right"/>
    </xf>
    <xf numFmtId="10" fontId="8" fillId="0" borderId="58" xfId="1" applyNumberFormat="1" applyFont="1" applyBorder="1"/>
    <xf numFmtId="165" fontId="7" fillId="0" borderId="58" xfId="1" applyNumberFormat="1" applyFont="1" applyBorder="1"/>
    <xf numFmtId="168" fontId="4" fillId="0" borderId="73" xfId="1" applyNumberFormat="1" applyFont="1" applyBorder="1"/>
    <xf numFmtId="168" fontId="7" fillId="0" borderId="58" xfId="1" applyNumberFormat="1" applyFont="1" applyBorder="1"/>
    <xf numFmtId="0" fontId="5" fillId="0" borderId="58" xfId="1" applyFont="1" applyBorder="1"/>
    <xf numFmtId="9" fontId="4" fillId="0" borderId="9" xfId="1" applyNumberFormat="1" applyFont="1" applyBorder="1"/>
    <xf numFmtId="168" fontId="4" fillId="0" borderId="74" xfId="1" applyNumberFormat="1" applyFont="1" applyBorder="1"/>
    <xf numFmtId="9" fontId="4" fillId="0" borderId="37" xfId="1" applyNumberFormat="1" applyFont="1" applyBorder="1"/>
    <xf numFmtId="0" fontId="4" fillId="0" borderId="36" xfId="1" applyFont="1" applyBorder="1" applyAlignment="1">
      <alignment horizontal="center"/>
    </xf>
    <xf numFmtId="0" fontId="5" fillId="0" borderId="35" xfId="1" applyFont="1" applyBorder="1"/>
    <xf numFmtId="168" fontId="4" fillId="0" borderId="41" xfId="1" applyNumberFormat="1" applyFont="1" applyBorder="1"/>
    <xf numFmtId="0" fontId="4" fillId="0" borderId="37" xfId="1" applyFont="1" applyBorder="1" applyAlignment="1">
      <alignment horizontal="center"/>
    </xf>
    <xf numFmtId="0" fontId="4" fillId="0" borderId="62" xfId="1" applyFont="1" applyBorder="1"/>
    <xf numFmtId="9" fontId="4" fillId="0" borderId="59" xfId="1" applyNumberFormat="1" applyFont="1" applyBorder="1"/>
    <xf numFmtId="0" fontId="4" fillId="0" borderId="62" xfId="1" applyFont="1" applyBorder="1" applyAlignment="1">
      <alignment horizontal="center"/>
    </xf>
    <xf numFmtId="167" fontId="4" fillId="0" borderId="58" xfId="1" applyNumberFormat="1" applyFont="1" applyBorder="1" applyAlignment="1">
      <alignment horizontal="right"/>
    </xf>
    <xf numFmtId="165" fontId="4" fillId="0" borderId="62" xfId="1" applyNumberFormat="1" applyFont="1" applyBorder="1"/>
    <xf numFmtId="168" fontId="4" fillId="0" borderId="75" xfId="1" applyNumberFormat="1" applyFont="1" applyBorder="1"/>
    <xf numFmtId="168" fontId="4" fillId="0" borderId="57" xfId="1" applyNumberFormat="1" applyFont="1" applyBorder="1"/>
    <xf numFmtId="0" fontId="4" fillId="0" borderId="76" xfId="1" applyFont="1" applyBorder="1"/>
    <xf numFmtId="167" fontId="4" fillId="0" borderId="77" xfId="1" applyNumberFormat="1" applyFont="1" applyBorder="1" applyAlignment="1">
      <alignment horizontal="right"/>
    </xf>
    <xf numFmtId="168" fontId="4" fillId="0" borderId="58" xfId="1" applyNumberFormat="1" applyFont="1" applyBorder="1"/>
    <xf numFmtId="170" fontId="4" fillId="0" borderId="25" xfId="1" applyNumberFormat="1" applyFont="1" applyBorder="1"/>
    <xf numFmtId="9" fontId="4" fillId="0" borderId="3" xfId="1" applyNumberFormat="1" applyFont="1" applyBorder="1"/>
    <xf numFmtId="2" fontId="4" fillId="0" borderId="78" xfId="1" applyNumberFormat="1" applyFont="1" applyBorder="1"/>
    <xf numFmtId="2" fontId="4" fillId="0" borderId="4" xfId="1" applyNumberFormat="1" applyFont="1" applyBorder="1"/>
    <xf numFmtId="2" fontId="4" fillId="0" borderId="5" xfId="1" applyNumberFormat="1" applyFont="1" applyBorder="1"/>
    <xf numFmtId="2" fontId="4" fillId="0" borderId="3" xfId="1" applyNumberFormat="1" applyFont="1" applyBorder="1"/>
    <xf numFmtId="2" fontId="4" fillId="0" borderId="6" xfId="1" applyNumberFormat="1" applyFont="1" applyBorder="1"/>
    <xf numFmtId="166" fontId="4" fillId="0" borderId="6" xfId="1" applyNumberFormat="1" applyFont="1" applyBorder="1"/>
    <xf numFmtId="2" fontId="4" fillId="0" borderId="79" xfId="1" applyNumberFormat="1" applyFont="1" applyBorder="1"/>
    <xf numFmtId="2" fontId="4" fillId="0" borderId="80" xfId="1" applyNumberFormat="1" applyFont="1" applyBorder="1"/>
    <xf numFmtId="2" fontId="4" fillId="0" borderId="81" xfId="1" applyNumberFormat="1" applyFont="1" applyBorder="1"/>
    <xf numFmtId="165" fontId="4" fillId="0" borderId="4" xfId="1" applyNumberFormat="1" applyFont="1" applyBorder="1"/>
    <xf numFmtId="168" fontId="4" fillId="0" borderId="8" xfId="1" applyNumberFormat="1" applyFont="1" applyBorder="1"/>
    <xf numFmtId="168" fontId="4" fillId="0" borderId="82" xfId="1" applyNumberFormat="1" applyFont="1" applyBorder="1"/>
    <xf numFmtId="168" fontId="4" fillId="0" borderId="83" xfId="1" applyNumberFormat="1" applyFont="1" applyBorder="1"/>
    <xf numFmtId="168" fontId="4" fillId="0" borderId="84" xfId="1" applyNumberFormat="1" applyFont="1" applyBorder="1"/>
    <xf numFmtId="2" fontId="4" fillId="0" borderId="85" xfId="1" applyNumberFormat="1" applyFont="1" applyBorder="1"/>
    <xf numFmtId="165" fontId="4" fillId="0" borderId="86" xfId="1" applyNumberFormat="1" applyFont="1" applyBorder="1"/>
    <xf numFmtId="168" fontId="4" fillId="2" borderId="83" xfId="1" applyNumberFormat="1" applyFont="1" applyFill="1" applyBorder="1"/>
    <xf numFmtId="2" fontId="4" fillId="0" borderId="87" xfId="1" applyNumberFormat="1" applyFont="1" applyBorder="1"/>
    <xf numFmtId="165" fontId="4" fillId="0" borderId="88" xfId="1" applyNumberFormat="1" applyFont="1" applyBorder="1"/>
    <xf numFmtId="168" fontId="4" fillId="0" borderId="89" xfId="1" applyNumberFormat="1" applyFont="1" applyBorder="1"/>
    <xf numFmtId="168" fontId="4" fillId="0" borderId="72" xfId="1" applyNumberFormat="1" applyFont="1" applyBorder="1"/>
    <xf numFmtId="0" fontId="9" fillId="0" borderId="0" xfId="1" applyFont="1"/>
    <xf numFmtId="9" fontId="4" fillId="0" borderId="10" xfId="1" applyNumberFormat="1" applyFont="1" applyBorder="1"/>
    <xf numFmtId="9" fontId="4" fillId="0" borderId="36" xfId="1" applyNumberFormat="1" applyFont="1" applyBorder="1"/>
    <xf numFmtId="168" fontId="4" fillId="0" borderId="90" xfId="1" applyNumberFormat="1" applyFont="1" applyBorder="1"/>
    <xf numFmtId="0" fontId="4" fillId="0" borderId="59" xfId="1" applyFont="1" applyBorder="1"/>
    <xf numFmtId="165" fontId="4" fillId="0" borderId="59" xfId="1" applyNumberFormat="1" applyFont="1" applyBorder="1"/>
    <xf numFmtId="168" fontId="4" fillId="0" borderId="63" xfId="1" applyNumberFormat="1" applyFont="1" applyBorder="1"/>
    <xf numFmtId="9" fontId="2" fillId="0" borderId="0" xfId="1" applyNumberFormat="1"/>
    <xf numFmtId="2" fontId="2" fillId="0" borderId="0" xfId="1" applyNumberFormat="1" applyAlignment="1">
      <alignment horizontal="right"/>
    </xf>
    <xf numFmtId="165" fontId="2" fillId="0" borderId="0" xfId="1" applyNumberFormat="1"/>
    <xf numFmtId="168" fontId="2" fillId="0" borderId="0" xfId="1" applyNumberFormat="1"/>
    <xf numFmtId="0" fontId="2" fillId="0" borderId="1" xfId="1" applyBorder="1"/>
    <xf numFmtId="0" fontId="2" fillId="0" borderId="10" xfId="1" applyBorder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" fontId="1" fillId="0" borderId="0" xfId="0" applyNumberFormat="1" applyFont="1"/>
    <xf numFmtId="168" fontId="1" fillId="0" borderId="0" xfId="0" applyNumberFormat="1" applyFont="1"/>
    <xf numFmtId="9" fontId="1" fillId="0" borderId="0" xfId="0" applyNumberFormat="1" applyFont="1"/>
    <xf numFmtId="171" fontId="1" fillId="0" borderId="0" xfId="0" applyNumberFormat="1" applyFont="1"/>
  </cellXfs>
  <cellStyles count="3">
    <cellStyle name="Normal" xfId="0" builtinId="0"/>
    <cellStyle name="Normal 2" xfId="1" xr:uid="{78AB9F0C-CC3F-4B9A-A713-E16F54C26747}"/>
    <cellStyle name="Normal 2 2" xfId="2" xr:uid="{D959EDFC-C030-4DA3-91DB-0984A0F3C3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VPVZAG\Desktop\KDOR_PVD_Ag%20Use%20website%20files\April%202025%20files\2025%20Ag%20Use%20Summary%20Information\2024_2025%20Average%20Value%20Change%20final%20no%20formulas.xlsx" TargetMode="External"/><Relationship Id="rId1" Type="http://schemas.openxmlformats.org/officeDocument/2006/relationships/externalLinkPath" Target="file:///C:\Users\RVPVZAG\Desktop\KDOR_PVD_Ag%20Use%20website%20files\April%202025%20files\2025%20Ag%20Use%20Summary%20Information\2024_2025%20Average%20Value%20Change%20final%20no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vy"/>
      <sheetName val="CapRate"/>
      <sheetName val="Dry"/>
      <sheetName val="Irrigated"/>
      <sheetName val="Native"/>
      <sheetName val="Tame"/>
      <sheetName val="Director"/>
      <sheetName val="2024 v 2025 hard code"/>
      <sheetName val="AcreSummary"/>
      <sheetName val="AcreSummary sorted by dry acres"/>
      <sheetName val="AcreSummary sorted by irr"/>
      <sheetName val="AcreSummary sorted by native"/>
    </sheetNames>
    <sheetDataSet>
      <sheetData sheetId="0"/>
      <sheetData sheetId="1">
        <row r="2">
          <cell r="D2" t="str">
            <v>Allen</v>
          </cell>
          <cell r="E2">
            <v>0.15129999999999999</v>
          </cell>
          <cell r="F2">
            <v>0.1517</v>
          </cell>
          <cell r="G2">
            <v>0.15329999999999999</v>
          </cell>
          <cell r="H2">
            <v>0.14990000000000001</v>
          </cell>
          <cell r="I2">
            <v>0.14380000000000001</v>
          </cell>
          <cell r="J2">
            <v>0.14199999999999999</v>
          </cell>
          <cell r="K2">
            <v>0.14235339387500001</v>
          </cell>
          <cell r="L2">
            <v>0.14260148375000001</v>
          </cell>
          <cell r="M2">
            <v>0.142841900375</v>
          </cell>
          <cell r="N2">
            <v>0.143025312875</v>
          </cell>
          <cell r="O2">
            <v>0.1469</v>
          </cell>
          <cell r="P2">
            <v>0.14799999999999999</v>
          </cell>
          <cell r="Q2">
            <v>0.1487</v>
          </cell>
          <cell r="R2">
            <v>0.1502</v>
          </cell>
          <cell r="S2">
            <v>0.15090000000000001</v>
          </cell>
          <cell r="T2">
            <v>0.15279999999999999</v>
          </cell>
          <cell r="U2">
            <v>0.15329999999999999</v>
          </cell>
          <cell r="V2">
            <v>0.15390000000000001</v>
          </cell>
          <cell r="W2">
            <v>0.15409999999999999</v>
          </cell>
          <cell r="X2">
            <v>0.15409999999999999</v>
          </cell>
          <cell r="Y2">
            <v>0.154</v>
          </cell>
          <cell r="Z2">
            <v>0.15390000000000001</v>
          </cell>
          <cell r="AA2">
            <v>0.15340000000000001</v>
          </cell>
          <cell r="AB2">
            <v>0.1532</v>
          </cell>
          <cell r="AC2">
            <v>0.15329999999999999</v>
          </cell>
        </row>
        <row r="3">
          <cell r="D3" t="str">
            <v>Anderson</v>
          </cell>
          <cell r="E3">
            <v>0.1497</v>
          </cell>
          <cell r="F3">
            <v>0.15040000000000001</v>
          </cell>
          <cell r="G3">
            <v>0.15229999999999999</v>
          </cell>
          <cell r="H3">
            <v>0.14960000000000001</v>
          </cell>
          <cell r="I3">
            <v>0.1434</v>
          </cell>
          <cell r="J3">
            <v>0.14149999999999999</v>
          </cell>
          <cell r="K3">
            <v>0.14209639474999999</v>
          </cell>
          <cell r="L3">
            <v>0.14248191162500001</v>
          </cell>
          <cell r="M3">
            <v>0.14272376112500001</v>
          </cell>
          <cell r="N3">
            <v>0.14279947362500001</v>
          </cell>
          <cell r="O3">
            <v>0.14779999999999999</v>
          </cell>
          <cell r="P3">
            <v>0.1489</v>
          </cell>
          <cell r="Q3">
            <v>0.14949999999999999</v>
          </cell>
          <cell r="R3">
            <v>0.15110000000000001</v>
          </cell>
          <cell r="S3">
            <v>0.15160000000000001</v>
          </cell>
          <cell r="T3">
            <v>0.15340000000000001</v>
          </cell>
          <cell r="U3">
            <v>0.154</v>
          </cell>
          <cell r="V3">
            <v>0.1545</v>
          </cell>
          <cell r="W3">
            <v>0.15490000000000001</v>
          </cell>
          <cell r="X3">
            <v>0.155</v>
          </cell>
          <cell r="Y3">
            <v>0.155</v>
          </cell>
          <cell r="Z3">
            <v>0.15509999999999999</v>
          </cell>
          <cell r="AA3">
            <v>0.15479999999999999</v>
          </cell>
          <cell r="AB3">
            <v>0.15429999999999999</v>
          </cell>
          <cell r="AC3">
            <v>0.1532</v>
          </cell>
        </row>
        <row r="4">
          <cell r="D4" t="str">
            <v>Atchison</v>
          </cell>
          <cell r="E4">
            <v>0.14910000000000001</v>
          </cell>
          <cell r="F4">
            <v>0.14829999999999999</v>
          </cell>
          <cell r="G4">
            <v>0.14929999999999999</v>
          </cell>
          <cell r="H4">
            <v>0.14560000000000001</v>
          </cell>
          <cell r="I4">
            <v>0.13919999999999999</v>
          </cell>
          <cell r="J4">
            <v>0.13750000000000001</v>
          </cell>
          <cell r="K4">
            <v>0.13796560399999999</v>
          </cell>
          <cell r="L4">
            <v>0.13812551937500001</v>
          </cell>
          <cell r="M4">
            <v>0.13820177112499998</v>
          </cell>
          <cell r="N4">
            <v>0.137944671125</v>
          </cell>
          <cell r="O4">
            <v>0.14099999999999999</v>
          </cell>
          <cell r="P4">
            <v>0.14199999999999999</v>
          </cell>
          <cell r="Q4">
            <v>0.1424</v>
          </cell>
          <cell r="R4">
            <v>0.14360000000000001</v>
          </cell>
          <cell r="S4">
            <v>0.1439</v>
          </cell>
          <cell r="T4">
            <v>0.1452</v>
          </cell>
          <cell r="U4">
            <v>0.1459</v>
          </cell>
          <cell r="V4">
            <v>0.1462</v>
          </cell>
          <cell r="W4">
            <v>0.14649999999999999</v>
          </cell>
          <cell r="X4">
            <v>0.14660000000000001</v>
          </cell>
          <cell r="Y4">
            <v>0.14660000000000001</v>
          </cell>
          <cell r="Z4">
            <v>0.14649999999999999</v>
          </cell>
          <cell r="AA4">
            <v>0.1464</v>
          </cell>
          <cell r="AB4">
            <v>0.1459</v>
          </cell>
          <cell r="AC4">
            <v>0.1454</v>
          </cell>
        </row>
        <row r="5">
          <cell r="D5" t="str">
            <v>Barber</v>
          </cell>
          <cell r="E5">
            <v>0.1502</v>
          </cell>
          <cell r="F5">
            <v>0.15029999999999999</v>
          </cell>
          <cell r="G5">
            <v>0.15240000000000001</v>
          </cell>
          <cell r="H5">
            <v>0.15</v>
          </cell>
          <cell r="I5">
            <v>0.14499999999999999</v>
          </cell>
          <cell r="J5">
            <v>0.14430000000000001</v>
          </cell>
          <cell r="K5">
            <v>0.14530976337500001</v>
          </cell>
          <cell r="L5">
            <v>0.14575583187499999</v>
          </cell>
          <cell r="M5">
            <v>0.14613973962499999</v>
          </cell>
          <cell r="N5">
            <v>0.145944139625</v>
          </cell>
          <cell r="O5">
            <v>0.14430000000000001</v>
          </cell>
          <cell r="P5">
            <v>0.14419999999999999</v>
          </cell>
          <cell r="Q5">
            <v>0.14430000000000001</v>
          </cell>
          <cell r="R5">
            <v>0.14380000000000001</v>
          </cell>
          <cell r="S5">
            <v>0.14380000000000001</v>
          </cell>
          <cell r="T5">
            <v>0.14399999999999999</v>
          </cell>
          <cell r="U5">
            <v>0.14480000000000001</v>
          </cell>
          <cell r="V5">
            <v>0.1467</v>
          </cell>
          <cell r="W5">
            <v>0.1484</v>
          </cell>
          <cell r="X5">
            <v>0.14979999999999999</v>
          </cell>
          <cell r="Y5">
            <v>0.1515</v>
          </cell>
          <cell r="Z5">
            <v>0.15340000000000001</v>
          </cell>
          <cell r="AA5">
            <v>0.15509999999999999</v>
          </cell>
          <cell r="AB5">
            <v>0.15670000000000001</v>
          </cell>
          <cell r="AC5">
            <v>0.15759999999999999</v>
          </cell>
        </row>
        <row r="6">
          <cell r="D6" t="str">
            <v>Barton</v>
          </cell>
          <cell r="E6">
            <v>0.15279999999999999</v>
          </cell>
          <cell r="F6">
            <v>0.15290000000000001</v>
          </cell>
          <cell r="G6">
            <v>0.155</v>
          </cell>
          <cell r="H6">
            <v>0.15290000000000001</v>
          </cell>
          <cell r="I6">
            <v>0.14779999999999999</v>
          </cell>
          <cell r="J6">
            <v>0.1469</v>
          </cell>
          <cell r="K6">
            <v>0.14795849075</v>
          </cell>
          <cell r="L6">
            <v>0.14853689824999999</v>
          </cell>
          <cell r="M6">
            <v>0.14922715250000002</v>
          </cell>
          <cell r="N6">
            <v>0.15002087750000001</v>
          </cell>
          <cell r="O6">
            <v>0.15240000000000001</v>
          </cell>
          <cell r="P6">
            <v>0.15260000000000001</v>
          </cell>
          <cell r="Q6">
            <v>0.1527</v>
          </cell>
          <cell r="R6">
            <v>0.15290000000000001</v>
          </cell>
          <cell r="S6">
            <v>0.15310000000000001</v>
          </cell>
          <cell r="T6">
            <v>0.15379999999999999</v>
          </cell>
          <cell r="U6">
            <v>0.1545</v>
          </cell>
          <cell r="V6">
            <v>0.1552</v>
          </cell>
          <cell r="W6">
            <v>0.15570000000000001</v>
          </cell>
          <cell r="X6">
            <v>0.15629999999999999</v>
          </cell>
          <cell r="Y6">
            <v>0.15670000000000001</v>
          </cell>
          <cell r="Z6">
            <v>0.15720000000000001</v>
          </cell>
          <cell r="AA6">
            <v>0.15759999999999999</v>
          </cell>
          <cell r="AB6">
            <v>0.15740000000000001</v>
          </cell>
          <cell r="AC6">
            <v>0.15640000000000001</v>
          </cell>
        </row>
        <row r="7">
          <cell r="D7" t="str">
            <v>Bourbon</v>
          </cell>
          <cell r="E7">
            <v>0.1537</v>
          </cell>
          <cell r="F7">
            <v>0.15340000000000001</v>
          </cell>
          <cell r="G7">
            <v>0.15479999999999999</v>
          </cell>
          <cell r="H7">
            <v>0.1515</v>
          </cell>
          <cell r="I7">
            <v>0.1454</v>
          </cell>
          <cell r="J7">
            <v>0.14369999999999999</v>
          </cell>
          <cell r="K7">
            <v>0.14407080387499999</v>
          </cell>
          <cell r="L7">
            <v>0.14406149412499999</v>
          </cell>
          <cell r="M7">
            <v>0.14432813150000001</v>
          </cell>
          <cell r="N7">
            <v>0.144564269</v>
          </cell>
          <cell r="O7">
            <v>0.14760000000000001</v>
          </cell>
          <cell r="P7">
            <v>0.14829999999999999</v>
          </cell>
          <cell r="Q7">
            <v>0.1489</v>
          </cell>
          <cell r="R7">
            <v>0.14990000000000001</v>
          </cell>
          <cell r="S7">
            <v>0.15060000000000001</v>
          </cell>
          <cell r="T7">
            <v>0.15210000000000001</v>
          </cell>
          <cell r="U7">
            <v>0.15329999999999999</v>
          </cell>
          <cell r="V7">
            <v>0.1545</v>
          </cell>
          <cell r="W7">
            <v>0.15570000000000001</v>
          </cell>
          <cell r="X7">
            <v>0.15670000000000001</v>
          </cell>
          <cell r="Y7">
            <v>0.1573</v>
          </cell>
          <cell r="Z7">
            <v>0.15790000000000001</v>
          </cell>
          <cell r="AA7">
            <v>0.15809999999999999</v>
          </cell>
          <cell r="AB7">
            <v>0.15820000000000001</v>
          </cell>
          <cell r="AC7">
            <v>0.15790000000000001</v>
          </cell>
        </row>
        <row r="8">
          <cell r="D8" t="str">
            <v>Brown</v>
          </cell>
          <cell r="E8">
            <v>0.15279999999999999</v>
          </cell>
          <cell r="F8">
            <v>0.15229999999999999</v>
          </cell>
          <cell r="G8">
            <v>0.15390000000000001</v>
          </cell>
          <cell r="H8">
            <v>0.15040000000000001</v>
          </cell>
          <cell r="I8">
            <v>0.14380000000000001</v>
          </cell>
          <cell r="J8">
            <v>0.1419</v>
          </cell>
          <cell r="K8">
            <v>0.142184301125</v>
          </cell>
          <cell r="L8">
            <v>0.141751025</v>
          </cell>
          <cell r="M8">
            <v>0.14158992349999999</v>
          </cell>
          <cell r="N8">
            <v>0.141495236</v>
          </cell>
          <cell r="O8">
            <v>0.14319999999999999</v>
          </cell>
          <cell r="P8">
            <v>0.1434</v>
          </cell>
          <cell r="Q8">
            <v>0.14330000000000001</v>
          </cell>
          <cell r="R8">
            <v>0.14319999999999999</v>
          </cell>
          <cell r="S8">
            <v>0.14319999999999999</v>
          </cell>
          <cell r="T8">
            <v>0.14299999999999999</v>
          </cell>
          <cell r="U8">
            <v>0.1429</v>
          </cell>
          <cell r="V8">
            <v>0.14269999999999999</v>
          </cell>
          <cell r="W8">
            <v>0.14230000000000001</v>
          </cell>
          <cell r="X8">
            <v>0.14180000000000001</v>
          </cell>
          <cell r="Y8">
            <v>0.14130000000000001</v>
          </cell>
          <cell r="Z8">
            <v>0.14080000000000001</v>
          </cell>
          <cell r="AA8">
            <v>0.14019999999999999</v>
          </cell>
          <cell r="AB8">
            <v>0.13980000000000001</v>
          </cell>
          <cell r="AC8">
            <v>0.1391</v>
          </cell>
        </row>
        <row r="9">
          <cell r="D9" t="str">
            <v>Butler</v>
          </cell>
          <cell r="E9">
            <v>0.15229999999999999</v>
          </cell>
          <cell r="F9">
            <v>0.15190000000000001</v>
          </cell>
          <cell r="G9">
            <v>0.1535</v>
          </cell>
          <cell r="H9">
            <v>0.1502</v>
          </cell>
          <cell r="I9">
            <v>0.14449999999999999</v>
          </cell>
          <cell r="J9">
            <v>0.1431</v>
          </cell>
          <cell r="K9">
            <v>0.143975080625</v>
          </cell>
          <cell r="L9">
            <v>0.14427733774999998</v>
          </cell>
          <cell r="M9">
            <v>0.14455188800000002</v>
          </cell>
          <cell r="N9">
            <v>0.14486062550000001</v>
          </cell>
          <cell r="O9">
            <v>0.14760000000000001</v>
          </cell>
          <cell r="P9">
            <v>0.1479</v>
          </cell>
          <cell r="Q9">
            <v>0.14829999999999999</v>
          </cell>
          <cell r="R9">
            <v>0.1489</v>
          </cell>
          <cell r="S9">
            <v>0.1492</v>
          </cell>
          <cell r="T9">
            <v>0.1497</v>
          </cell>
          <cell r="U9">
            <v>0.15029999999999999</v>
          </cell>
          <cell r="V9">
            <v>0.15060000000000001</v>
          </cell>
          <cell r="W9">
            <v>0.151</v>
          </cell>
          <cell r="X9">
            <v>0.1512</v>
          </cell>
          <cell r="Y9">
            <v>0.1512</v>
          </cell>
          <cell r="Z9">
            <v>0.1512</v>
          </cell>
          <cell r="AA9">
            <v>0.151</v>
          </cell>
          <cell r="AB9">
            <v>0.1507</v>
          </cell>
          <cell r="AC9">
            <v>0.15</v>
          </cell>
        </row>
        <row r="10">
          <cell r="D10" t="str">
            <v>Chase</v>
          </cell>
          <cell r="E10">
            <v>0.14949999999999999</v>
          </cell>
          <cell r="F10">
            <v>0.1497</v>
          </cell>
          <cell r="G10">
            <v>0.15129999999999999</v>
          </cell>
          <cell r="H10">
            <v>0.1482</v>
          </cell>
          <cell r="I10">
            <v>0.1421</v>
          </cell>
          <cell r="J10">
            <v>0.1404</v>
          </cell>
          <cell r="K10">
            <v>0.14078958499999999</v>
          </cell>
          <cell r="L10">
            <v>0.14095090437499999</v>
          </cell>
          <cell r="M10">
            <v>0.14119898975</v>
          </cell>
          <cell r="N10">
            <v>0.14122175225</v>
          </cell>
          <cell r="O10">
            <v>0.1449</v>
          </cell>
          <cell r="P10">
            <v>0.1457</v>
          </cell>
          <cell r="Q10">
            <v>0.14599999999999999</v>
          </cell>
          <cell r="R10">
            <v>0.14710000000000001</v>
          </cell>
          <cell r="S10">
            <v>0.1472</v>
          </cell>
          <cell r="T10">
            <v>0.14779999999999999</v>
          </cell>
          <cell r="U10">
            <v>0.14779999999999999</v>
          </cell>
          <cell r="V10">
            <v>0.1479</v>
          </cell>
          <cell r="W10">
            <v>0.14849999999999999</v>
          </cell>
          <cell r="X10">
            <v>0.1487</v>
          </cell>
          <cell r="Y10">
            <v>0.14879999999999999</v>
          </cell>
          <cell r="Z10">
            <v>0.14899999999999999</v>
          </cell>
          <cell r="AA10">
            <v>0.14929999999999999</v>
          </cell>
          <cell r="AB10">
            <v>0.14929999999999999</v>
          </cell>
          <cell r="AC10">
            <v>0.15</v>
          </cell>
        </row>
        <row r="11">
          <cell r="D11" t="str">
            <v>Chautauqua</v>
          </cell>
          <cell r="E11">
            <v>0.15140000000000001</v>
          </cell>
          <cell r="F11">
            <v>0.1517</v>
          </cell>
          <cell r="G11">
            <v>0.1537</v>
          </cell>
          <cell r="H11">
            <v>0.15090000000000001</v>
          </cell>
          <cell r="I11">
            <v>0.14510000000000001</v>
          </cell>
          <cell r="J11">
            <v>0.14349999999999999</v>
          </cell>
          <cell r="K11">
            <v>0.14419001412499999</v>
          </cell>
          <cell r="L11">
            <v>0.144486317</v>
          </cell>
          <cell r="M11">
            <v>0.14465481575</v>
          </cell>
          <cell r="N11">
            <v>0.14508989075000001</v>
          </cell>
          <cell r="O11">
            <v>0.15140000000000001</v>
          </cell>
          <cell r="P11">
            <v>0.1532</v>
          </cell>
          <cell r="Q11">
            <v>0.154</v>
          </cell>
          <cell r="R11">
            <v>0.1565</v>
          </cell>
          <cell r="S11">
            <v>0.15720000000000001</v>
          </cell>
          <cell r="T11">
            <v>0.15939999999999999</v>
          </cell>
          <cell r="U11">
            <v>0.1605</v>
          </cell>
          <cell r="V11">
            <v>0.16159999999999999</v>
          </cell>
          <cell r="W11">
            <v>0.16200000000000001</v>
          </cell>
          <cell r="X11">
            <v>0.16200000000000001</v>
          </cell>
          <cell r="Y11">
            <v>0.16159999999999999</v>
          </cell>
          <cell r="Z11">
            <v>0.16109999999999999</v>
          </cell>
          <cell r="AA11">
            <v>0.1603</v>
          </cell>
          <cell r="AB11">
            <v>0.15939999999999999</v>
          </cell>
          <cell r="AC11">
            <v>0.158</v>
          </cell>
        </row>
        <row r="12">
          <cell r="D12" t="str">
            <v>Cherokee</v>
          </cell>
          <cell r="E12">
            <v>0.14530000000000001</v>
          </cell>
          <cell r="F12">
            <v>0.14410000000000001</v>
          </cell>
          <cell r="G12">
            <v>0.14510000000000001</v>
          </cell>
          <cell r="H12">
            <v>0.1411</v>
          </cell>
          <cell r="I12">
            <v>0.1346</v>
          </cell>
          <cell r="J12">
            <v>0.13239999999999999</v>
          </cell>
          <cell r="K12">
            <v>0.13277257287499999</v>
          </cell>
          <cell r="L12">
            <v>0.13286332437500001</v>
          </cell>
          <cell r="M12">
            <v>0.13300072925</v>
          </cell>
          <cell r="N12">
            <v>0.13324665424999999</v>
          </cell>
          <cell r="O12">
            <v>0.1376</v>
          </cell>
          <cell r="P12">
            <v>0.13830000000000001</v>
          </cell>
          <cell r="Q12">
            <v>0.1386</v>
          </cell>
          <cell r="R12">
            <v>0.1396</v>
          </cell>
          <cell r="S12">
            <v>0.1396</v>
          </cell>
          <cell r="T12">
            <v>0.14000000000000001</v>
          </cell>
          <cell r="U12">
            <v>0.14019999999999999</v>
          </cell>
          <cell r="V12">
            <v>0.14019999999999999</v>
          </cell>
          <cell r="W12">
            <v>0.14030000000000001</v>
          </cell>
          <cell r="X12">
            <v>0.14050000000000001</v>
          </cell>
          <cell r="Y12">
            <v>0.14050000000000001</v>
          </cell>
          <cell r="Z12">
            <v>0.1406</v>
          </cell>
          <cell r="AA12">
            <v>0.14050000000000001</v>
          </cell>
          <cell r="AB12">
            <v>0.1404</v>
          </cell>
          <cell r="AC12">
            <v>0.1401</v>
          </cell>
        </row>
        <row r="13">
          <cell r="D13" t="str">
            <v>Cheyenne</v>
          </cell>
          <cell r="E13">
            <v>0.1452</v>
          </cell>
          <cell r="F13">
            <v>0.1447</v>
          </cell>
          <cell r="G13">
            <v>0.1464</v>
          </cell>
          <cell r="H13">
            <v>0.14269999999999999</v>
          </cell>
          <cell r="I13">
            <v>0.1361</v>
          </cell>
          <cell r="J13">
            <v>0.13400000000000001</v>
          </cell>
          <cell r="K13">
            <v>0.133893828125</v>
          </cell>
          <cell r="L13">
            <v>0.13385951900000001</v>
          </cell>
          <cell r="M13">
            <v>0.1339634975</v>
          </cell>
          <cell r="N13">
            <v>0.13351263499999999</v>
          </cell>
          <cell r="O13">
            <v>0.13700000000000001</v>
          </cell>
          <cell r="P13">
            <v>0.13869999999999999</v>
          </cell>
          <cell r="Q13">
            <v>0.14019999999999999</v>
          </cell>
          <cell r="R13">
            <v>0.14330000000000001</v>
          </cell>
          <cell r="S13">
            <v>0.1447</v>
          </cell>
          <cell r="T13">
            <v>0.14799999999999999</v>
          </cell>
          <cell r="U13">
            <v>0.15060000000000001</v>
          </cell>
          <cell r="V13">
            <v>0.15290000000000001</v>
          </cell>
          <cell r="W13">
            <v>0.15529999999999999</v>
          </cell>
          <cell r="X13">
            <v>0.15609999999999999</v>
          </cell>
          <cell r="Y13">
            <v>0.15620000000000001</v>
          </cell>
          <cell r="Z13">
            <v>0.15570000000000001</v>
          </cell>
          <cell r="AA13">
            <v>0.15529999999999999</v>
          </cell>
          <cell r="AB13">
            <v>0.155</v>
          </cell>
          <cell r="AC13">
            <v>0.15340000000000001</v>
          </cell>
        </row>
        <row r="14">
          <cell r="D14" t="str">
            <v>Clark</v>
          </cell>
          <cell r="E14">
            <v>0.15110000000000001</v>
          </cell>
          <cell r="F14">
            <v>0.15260000000000001</v>
          </cell>
          <cell r="G14">
            <v>0.15540000000000001</v>
          </cell>
          <cell r="H14">
            <v>0.15310000000000001</v>
          </cell>
          <cell r="I14">
            <v>0.14829999999999999</v>
          </cell>
          <cell r="J14">
            <v>0.14760000000000001</v>
          </cell>
          <cell r="K14">
            <v>0.14908025787500001</v>
          </cell>
          <cell r="L14">
            <v>0.15002885075</v>
          </cell>
          <cell r="M14">
            <v>0.151014911</v>
          </cell>
          <cell r="N14">
            <v>0.15203922349999999</v>
          </cell>
          <cell r="O14">
            <v>0.15490000000000001</v>
          </cell>
          <cell r="P14">
            <v>0.15490000000000001</v>
          </cell>
          <cell r="Q14">
            <v>0.155</v>
          </cell>
          <cell r="R14">
            <v>0.155</v>
          </cell>
          <cell r="S14">
            <v>0.15570000000000001</v>
          </cell>
          <cell r="T14">
            <v>0.15629999999999999</v>
          </cell>
          <cell r="U14">
            <v>0.15859999999999999</v>
          </cell>
          <cell r="V14">
            <v>0.1613</v>
          </cell>
          <cell r="W14">
            <v>0.16389999999999999</v>
          </cell>
          <cell r="X14">
            <v>0.16639999999999999</v>
          </cell>
          <cell r="Y14">
            <v>0.16830000000000001</v>
          </cell>
          <cell r="Z14">
            <v>0.16969999999999999</v>
          </cell>
          <cell r="AA14">
            <v>0.1706</v>
          </cell>
          <cell r="AB14">
            <v>0.17069999999999999</v>
          </cell>
          <cell r="AC14">
            <v>0.16930000000000001</v>
          </cell>
        </row>
        <row r="15">
          <cell r="D15" t="str">
            <v>Clay</v>
          </cell>
          <cell r="E15">
            <v>0.15379999999999999</v>
          </cell>
          <cell r="F15">
            <v>0.15429999999999999</v>
          </cell>
          <cell r="G15">
            <v>0.15620000000000001</v>
          </cell>
          <cell r="H15">
            <v>0.15340000000000001</v>
          </cell>
          <cell r="I15">
            <v>0.1479</v>
          </cell>
          <cell r="J15">
            <v>0.14630000000000001</v>
          </cell>
          <cell r="K15">
            <v>0.14693769987499999</v>
          </cell>
          <cell r="L15">
            <v>0.14698317575</v>
          </cell>
          <cell r="M15">
            <v>0.14696823650000002</v>
          </cell>
          <cell r="N15">
            <v>0.14702459900000001</v>
          </cell>
          <cell r="O15">
            <v>0.14829999999999999</v>
          </cell>
          <cell r="P15">
            <v>0.1487</v>
          </cell>
          <cell r="Q15">
            <v>0.14899999999999999</v>
          </cell>
          <cell r="R15">
            <v>0.1497</v>
          </cell>
          <cell r="S15">
            <v>0.15029999999999999</v>
          </cell>
          <cell r="T15">
            <v>0.15140000000000001</v>
          </cell>
          <cell r="U15">
            <v>0.15210000000000001</v>
          </cell>
          <cell r="V15">
            <v>0.15279999999999999</v>
          </cell>
          <cell r="W15">
            <v>0.1532</v>
          </cell>
          <cell r="X15">
            <v>0.15359999999999999</v>
          </cell>
          <cell r="Y15">
            <v>0.1537</v>
          </cell>
          <cell r="Z15">
            <v>0.1537</v>
          </cell>
          <cell r="AA15">
            <v>0.153</v>
          </cell>
          <cell r="AB15">
            <v>0.15229999999999999</v>
          </cell>
          <cell r="AC15">
            <v>0.15160000000000001</v>
          </cell>
        </row>
        <row r="16">
          <cell r="D16" t="str">
            <v>Cloud</v>
          </cell>
          <cell r="E16">
            <v>0.15989999999999999</v>
          </cell>
          <cell r="F16">
            <v>0.1605</v>
          </cell>
          <cell r="G16">
            <v>0.16209999999999999</v>
          </cell>
          <cell r="H16">
            <v>0.15859999999999999</v>
          </cell>
          <cell r="I16">
            <v>0.15190000000000001</v>
          </cell>
          <cell r="J16">
            <v>0.14979999999999999</v>
          </cell>
          <cell r="K16">
            <v>0.14983552024999999</v>
          </cell>
          <cell r="L16">
            <v>0.14950307225000001</v>
          </cell>
          <cell r="M16">
            <v>0.14908436750000001</v>
          </cell>
          <cell r="N16">
            <v>0.14870332999999999</v>
          </cell>
          <cell r="O16">
            <v>0.1512</v>
          </cell>
          <cell r="P16">
            <v>0.1515</v>
          </cell>
          <cell r="Q16">
            <v>0.15179999999999999</v>
          </cell>
          <cell r="R16">
            <v>0.15279999999999999</v>
          </cell>
          <cell r="S16">
            <v>0.15329999999999999</v>
          </cell>
          <cell r="T16">
            <v>0.1542</v>
          </cell>
          <cell r="U16">
            <v>0.155</v>
          </cell>
          <cell r="V16">
            <v>0.15590000000000001</v>
          </cell>
          <cell r="W16">
            <v>0.15670000000000001</v>
          </cell>
          <cell r="X16">
            <v>0.15740000000000001</v>
          </cell>
          <cell r="Y16">
            <v>0.15790000000000001</v>
          </cell>
          <cell r="Z16">
            <v>0.15790000000000001</v>
          </cell>
          <cell r="AA16">
            <v>0.1578</v>
          </cell>
          <cell r="AB16">
            <v>0.15740000000000001</v>
          </cell>
          <cell r="AC16">
            <v>0.1565</v>
          </cell>
        </row>
        <row r="17">
          <cell r="D17" t="str">
            <v>Coffey</v>
          </cell>
          <cell r="E17">
            <v>0.1348</v>
          </cell>
          <cell r="F17">
            <v>0.13569999999999999</v>
          </cell>
          <cell r="G17">
            <v>0.13800000000000001</v>
          </cell>
          <cell r="H17">
            <v>0.1356</v>
          </cell>
          <cell r="I17">
            <v>0.1305</v>
          </cell>
          <cell r="J17">
            <v>0.12820000000000001</v>
          </cell>
          <cell r="K17">
            <v>0.12843291912499999</v>
          </cell>
          <cell r="L17">
            <v>0.128383166375</v>
          </cell>
          <cell r="M17">
            <v>0.12837783124999999</v>
          </cell>
          <cell r="N17">
            <v>0.12835195625000001</v>
          </cell>
          <cell r="O17">
            <v>0.13159999999999999</v>
          </cell>
          <cell r="P17">
            <v>0.13239999999999999</v>
          </cell>
          <cell r="Q17">
            <v>0.13270000000000001</v>
          </cell>
          <cell r="R17">
            <v>0.13370000000000001</v>
          </cell>
          <cell r="S17">
            <v>0.13389999999999999</v>
          </cell>
          <cell r="T17">
            <v>0.13500000000000001</v>
          </cell>
          <cell r="U17">
            <v>0.13550000000000001</v>
          </cell>
          <cell r="V17">
            <v>0.13589999999999999</v>
          </cell>
          <cell r="W17">
            <v>0.13600000000000001</v>
          </cell>
          <cell r="X17">
            <v>0.1361</v>
          </cell>
          <cell r="Y17">
            <v>0.13619999999999999</v>
          </cell>
          <cell r="Z17">
            <v>0.13639999999999999</v>
          </cell>
          <cell r="AA17">
            <v>0.1366</v>
          </cell>
          <cell r="AB17">
            <v>0.13669999999999999</v>
          </cell>
          <cell r="AC17">
            <v>0.13689999999999999</v>
          </cell>
        </row>
        <row r="18">
          <cell r="D18" t="str">
            <v>Comanche</v>
          </cell>
          <cell r="E18">
            <v>0.15079999999999999</v>
          </cell>
          <cell r="F18">
            <v>0.15160000000000001</v>
          </cell>
          <cell r="G18">
            <v>0.15390000000000001</v>
          </cell>
          <cell r="H18">
            <v>0.15129999999999999</v>
          </cell>
          <cell r="I18">
            <v>0.1464</v>
          </cell>
          <cell r="J18">
            <v>0.14460000000000001</v>
          </cell>
          <cell r="K18">
            <v>0.14515917275000001</v>
          </cell>
          <cell r="L18">
            <v>0.14480904462499999</v>
          </cell>
          <cell r="M18">
            <v>0.144884492</v>
          </cell>
          <cell r="N18">
            <v>0.14455696700000001</v>
          </cell>
          <cell r="O18">
            <v>0.1457</v>
          </cell>
          <cell r="P18">
            <v>0.1469</v>
          </cell>
          <cell r="Q18">
            <v>0.14710000000000001</v>
          </cell>
          <cell r="R18">
            <v>0.14829999999999999</v>
          </cell>
          <cell r="S18">
            <v>0.1484</v>
          </cell>
          <cell r="T18">
            <v>0.14960000000000001</v>
          </cell>
          <cell r="U18">
            <v>0.15029999999999999</v>
          </cell>
          <cell r="V18">
            <v>0.1517</v>
          </cell>
          <cell r="W18">
            <v>0.15340000000000001</v>
          </cell>
          <cell r="X18">
            <v>0.15429999999999999</v>
          </cell>
          <cell r="Y18">
            <v>0.156</v>
          </cell>
          <cell r="Z18">
            <v>0.1575</v>
          </cell>
          <cell r="AA18">
            <v>0.1598</v>
          </cell>
          <cell r="AB18">
            <v>0.1618</v>
          </cell>
          <cell r="AC18">
            <v>0.16489999999999999</v>
          </cell>
        </row>
        <row r="19">
          <cell r="D19" t="str">
            <v>Cowley</v>
          </cell>
          <cell r="E19">
            <v>0.155</v>
          </cell>
          <cell r="F19">
            <v>0.1547</v>
          </cell>
          <cell r="G19">
            <v>0.156</v>
          </cell>
          <cell r="H19">
            <v>0.15260000000000001</v>
          </cell>
          <cell r="I19">
            <v>0.1464</v>
          </cell>
          <cell r="J19">
            <v>0.1447</v>
          </cell>
          <cell r="K19">
            <v>0.145036039625</v>
          </cell>
          <cell r="L19">
            <v>0.144751126625</v>
          </cell>
          <cell r="M19">
            <v>0.144699447875</v>
          </cell>
          <cell r="N19">
            <v>0.14476199787499999</v>
          </cell>
          <cell r="O19">
            <v>0.14860000000000001</v>
          </cell>
          <cell r="P19">
            <v>0.1497</v>
          </cell>
          <cell r="Q19">
            <v>0.15010000000000001</v>
          </cell>
          <cell r="R19">
            <v>0.15140000000000001</v>
          </cell>
          <cell r="S19">
            <v>0.1517</v>
          </cell>
          <cell r="T19">
            <v>0.1525</v>
          </cell>
          <cell r="U19">
            <v>0.15290000000000001</v>
          </cell>
          <cell r="V19">
            <v>0.15310000000000001</v>
          </cell>
          <cell r="W19">
            <v>0.15329999999999999</v>
          </cell>
          <cell r="X19">
            <v>0.15329999999999999</v>
          </cell>
          <cell r="Y19">
            <v>0.15340000000000001</v>
          </cell>
          <cell r="Z19">
            <v>0.15379999999999999</v>
          </cell>
          <cell r="AA19">
            <v>0.15379999999999999</v>
          </cell>
          <cell r="AB19">
            <v>0.15390000000000001</v>
          </cell>
          <cell r="AC19">
            <v>0.15379999999999999</v>
          </cell>
        </row>
        <row r="20">
          <cell r="D20" t="str">
            <v>Crawford</v>
          </cell>
          <cell r="E20">
            <v>0.14649999999999999</v>
          </cell>
          <cell r="F20">
            <v>0.14549999999999999</v>
          </cell>
          <cell r="G20">
            <v>0.14680000000000001</v>
          </cell>
          <cell r="H20">
            <v>0.14330000000000001</v>
          </cell>
          <cell r="I20">
            <v>0.13689999999999999</v>
          </cell>
          <cell r="J20">
            <v>0.13439999999999999</v>
          </cell>
          <cell r="K20">
            <v>0.134401943375</v>
          </cell>
          <cell r="L20">
            <v>0.13407912987500001</v>
          </cell>
          <cell r="M20">
            <v>0.13387017949999999</v>
          </cell>
          <cell r="N20">
            <v>0.13404395450000001</v>
          </cell>
          <cell r="O20">
            <v>0.13780000000000001</v>
          </cell>
          <cell r="P20">
            <v>0.1386</v>
          </cell>
          <cell r="Q20">
            <v>0.13900000000000001</v>
          </cell>
          <cell r="R20">
            <v>0.14000000000000001</v>
          </cell>
          <cell r="S20">
            <v>0.14030000000000001</v>
          </cell>
          <cell r="T20">
            <v>0.14119999999999999</v>
          </cell>
          <cell r="U20">
            <v>0.14169999999999999</v>
          </cell>
          <cell r="V20">
            <v>0.14219999999999999</v>
          </cell>
          <cell r="W20">
            <v>0.1426</v>
          </cell>
          <cell r="X20">
            <v>0.14299999999999999</v>
          </cell>
          <cell r="Y20">
            <v>0.14319999999999999</v>
          </cell>
          <cell r="Z20">
            <v>0.14330000000000001</v>
          </cell>
          <cell r="AA20">
            <v>0.14349999999999999</v>
          </cell>
          <cell r="AB20">
            <v>0.14360000000000001</v>
          </cell>
          <cell r="AC20">
            <v>0.14360000000000001</v>
          </cell>
        </row>
        <row r="21">
          <cell r="D21" t="str">
            <v>Decatur</v>
          </cell>
          <cell r="E21">
            <v>0.15079999999999999</v>
          </cell>
          <cell r="F21">
            <v>0.15110000000000001</v>
          </cell>
          <cell r="G21">
            <v>0.15329999999999999</v>
          </cell>
          <cell r="H21">
            <v>0.1507</v>
          </cell>
          <cell r="I21">
            <v>0.14480000000000001</v>
          </cell>
          <cell r="J21">
            <v>0.1434</v>
          </cell>
          <cell r="K21">
            <v>0.14408498675</v>
          </cell>
          <cell r="L21">
            <v>0.14407827049999999</v>
          </cell>
          <cell r="M21">
            <v>0.14424495800000001</v>
          </cell>
          <cell r="N21">
            <v>0.14422204550000001</v>
          </cell>
          <cell r="O21">
            <v>0.14749999999999999</v>
          </cell>
          <cell r="P21">
            <v>0.1489</v>
          </cell>
          <cell r="Q21">
            <v>0.14979999999999999</v>
          </cell>
          <cell r="R21">
            <v>0.1517</v>
          </cell>
          <cell r="S21">
            <v>0.15210000000000001</v>
          </cell>
          <cell r="T21">
            <v>0.15359999999999999</v>
          </cell>
          <cell r="U21">
            <v>0.1537</v>
          </cell>
          <cell r="V21">
            <v>0.15409999999999999</v>
          </cell>
          <cell r="W21">
            <v>0.15359999999999999</v>
          </cell>
          <cell r="X21">
            <v>0.153</v>
          </cell>
          <cell r="Y21">
            <v>0.15190000000000001</v>
          </cell>
          <cell r="Z21">
            <v>0.15140000000000001</v>
          </cell>
          <cell r="AA21">
            <v>0.151</v>
          </cell>
          <cell r="AB21">
            <v>0.15079999999999999</v>
          </cell>
          <cell r="AC21">
            <v>0.1512</v>
          </cell>
        </row>
        <row r="22">
          <cell r="D22" t="str">
            <v>Dickinson</v>
          </cell>
          <cell r="E22">
            <v>0.14849999999999999</v>
          </cell>
          <cell r="F22">
            <v>0.1479</v>
          </cell>
          <cell r="G22">
            <v>0.14910000000000001</v>
          </cell>
          <cell r="H22">
            <v>0.14549999999999999</v>
          </cell>
          <cell r="I22">
            <v>0.13900000000000001</v>
          </cell>
          <cell r="J22">
            <v>0.13730000000000001</v>
          </cell>
          <cell r="K22">
            <v>0.137866507625</v>
          </cell>
          <cell r="L22">
            <v>0.138331611125</v>
          </cell>
          <cell r="M22">
            <v>0.138797276375</v>
          </cell>
          <cell r="N22">
            <v>0.13922376387499999</v>
          </cell>
          <cell r="O22">
            <v>0.14169999999999999</v>
          </cell>
          <cell r="P22">
            <v>0.14199999999999999</v>
          </cell>
          <cell r="Q22">
            <v>0.14219999999999999</v>
          </cell>
          <cell r="R22">
            <v>0.14269999999999999</v>
          </cell>
          <cell r="S22">
            <v>0.1431</v>
          </cell>
          <cell r="T22">
            <v>0.14399999999999999</v>
          </cell>
          <cell r="U22">
            <v>0.14499999999999999</v>
          </cell>
          <cell r="V22">
            <v>0.1457</v>
          </cell>
          <cell r="W22">
            <v>0.14630000000000001</v>
          </cell>
          <cell r="X22">
            <v>0.1467</v>
          </cell>
          <cell r="Y22">
            <v>0.1472</v>
          </cell>
          <cell r="Z22">
            <v>0.14779999999999999</v>
          </cell>
          <cell r="AA22">
            <v>0.1482</v>
          </cell>
          <cell r="AB22">
            <v>0.14849999999999999</v>
          </cell>
          <cell r="AC22">
            <v>0.1487</v>
          </cell>
        </row>
        <row r="23">
          <cell r="D23" t="str">
            <v>Doniphan</v>
          </cell>
          <cell r="E23">
            <v>0.15509999999999999</v>
          </cell>
          <cell r="F23">
            <v>0.1537</v>
          </cell>
          <cell r="G23">
            <v>0.1547</v>
          </cell>
          <cell r="H23">
            <v>0.1507</v>
          </cell>
          <cell r="I23">
            <v>0.14360000000000001</v>
          </cell>
          <cell r="J23">
            <v>0.14050000000000001</v>
          </cell>
          <cell r="K23">
            <v>0.13945468962500002</v>
          </cell>
          <cell r="L23">
            <v>0.13830146674999999</v>
          </cell>
          <cell r="M23">
            <v>0.13758814550000001</v>
          </cell>
          <cell r="N23">
            <v>0.1369729955</v>
          </cell>
          <cell r="O23">
            <v>0.13969999999999999</v>
          </cell>
          <cell r="P23">
            <v>0.14050000000000001</v>
          </cell>
          <cell r="Q23">
            <v>0.14069999999999999</v>
          </cell>
          <cell r="R23">
            <v>0.1416</v>
          </cell>
          <cell r="S23">
            <v>0.1419</v>
          </cell>
          <cell r="T23">
            <v>0.1429</v>
          </cell>
          <cell r="U23">
            <v>0.14349999999999999</v>
          </cell>
          <cell r="V23">
            <v>0.14380000000000001</v>
          </cell>
          <cell r="W23">
            <v>0.14399999999999999</v>
          </cell>
          <cell r="X23">
            <v>0.1439</v>
          </cell>
          <cell r="Y23">
            <v>0.14380000000000001</v>
          </cell>
          <cell r="Z23">
            <v>0.14349999999999999</v>
          </cell>
          <cell r="AA23">
            <v>0.14330000000000001</v>
          </cell>
          <cell r="AB23">
            <v>0.14280000000000001</v>
          </cell>
          <cell r="AC23">
            <v>0.14230000000000001</v>
          </cell>
        </row>
        <row r="24">
          <cell r="D24" t="str">
            <v>Douglas</v>
          </cell>
          <cell r="E24">
            <v>0.1507</v>
          </cell>
          <cell r="F24">
            <v>0.14940000000000001</v>
          </cell>
          <cell r="G24">
            <v>0.1507</v>
          </cell>
          <cell r="H24">
            <v>0.14710000000000001</v>
          </cell>
          <cell r="I24">
            <v>0.14069999999999999</v>
          </cell>
          <cell r="J24">
            <v>0.13880000000000001</v>
          </cell>
          <cell r="K24">
            <v>0.139104892625</v>
          </cell>
          <cell r="L24">
            <v>0.138838406</v>
          </cell>
          <cell r="M24">
            <v>0.13853071324999999</v>
          </cell>
          <cell r="N24">
            <v>0.13829506325000002</v>
          </cell>
          <cell r="O24">
            <v>0.14149999999999999</v>
          </cell>
          <cell r="P24">
            <v>0.1424</v>
          </cell>
          <cell r="Q24">
            <v>0.14269999999999999</v>
          </cell>
          <cell r="R24">
            <v>0.1439</v>
          </cell>
          <cell r="S24">
            <v>0.14419999999999999</v>
          </cell>
          <cell r="T24">
            <v>0.14499999999999999</v>
          </cell>
          <cell r="U24">
            <v>0.14560000000000001</v>
          </cell>
          <cell r="V24">
            <v>0.14599999999999999</v>
          </cell>
          <cell r="W24">
            <v>0.14649999999999999</v>
          </cell>
          <cell r="X24">
            <v>0.1467</v>
          </cell>
          <cell r="Y24">
            <v>0.1469</v>
          </cell>
          <cell r="Z24">
            <v>0.1472</v>
          </cell>
          <cell r="AA24">
            <v>0.1474</v>
          </cell>
          <cell r="AB24">
            <v>0.1474</v>
          </cell>
          <cell r="AC24">
            <v>0.1472</v>
          </cell>
        </row>
        <row r="25">
          <cell r="D25" t="str">
            <v>Edwards</v>
          </cell>
          <cell r="E25">
            <v>0.15060000000000001</v>
          </cell>
          <cell r="F25">
            <v>0.15110000000000001</v>
          </cell>
          <cell r="G25">
            <v>0.1537</v>
          </cell>
          <cell r="H25">
            <v>0.1507</v>
          </cell>
          <cell r="I25">
            <v>0.14510000000000001</v>
          </cell>
          <cell r="J25">
            <v>0.14380000000000001</v>
          </cell>
          <cell r="K25">
            <v>0.14456230250000002</v>
          </cell>
          <cell r="L25">
            <v>0.14494339437500001</v>
          </cell>
          <cell r="M25">
            <v>0.14491490862500001</v>
          </cell>
          <cell r="N25">
            <v>0.14487793362500001</v>
          </cell>
          <cell r="O25">
            <v>0.14599999999999999</v>
          </cell>
          <cell r="P25">
            <v>0.14660000000000001</v>
          </cell>
          <cell r="Q25">
            <v>0.14729999999999999</v>
          </cell>
          <cell r="R25">
            <v>0.1482</v>
          </cell>
          <cell r="S25">
            <v>0.14910000000000001</v>
          </cell>
          <cell r="T25">
            <v>0.15110000000000001</v>
          </cell>
          <cell r="U25">
            <v>0.1525</v>
          </cell>
          <cell r="V25">
            <v>0.15359999999999999</v>
          </cell>
          <cell r="W25">
            <v>0.1547</v>
          </cell>
          <cell r="X25">
            <v>0.1555</v>
          </cell>
          <cell r="Y25">
            <v>0.15590000000000001</v>
          </cell>
          <cell r="Z25">
            <v>0.15620000000000001</v>
          </cell>
          <cell r="AA25">
            <v>0.15620000000000001</v>
          </cell>
          <cell r="AB25">
            <v>0.15609999999999999</v>
          </cell>
          <cell r="AC25">
            <v>0.15620000000000001</v>
          </cell>
        </row>
        <row r="26">
          <cell r="D26" t="str">
            <v>Elk</v>
          </cell>
          <cell r="E26">
            <v>0.1535</v>
          </cell>
          <cell r="F26">
            <v>0.1535</v>
          </cell>
          <cell r="G26">
            <v>0.15429999999999999</v>
          </cell>
          <cell r="H26">
            <v>0.151</v>
          </cell>
          <cell r="I26">
            <v>0.14510000000000001</v>
          </cell>
          <cell r="J26">
            <v>0.14330000000000001</v>
          </cell>
          <cell r="K26">
            <v>0.14345679724999999</v>
          </cell>
          <cell r="L26">
            <v>0.14350603812499999</v>
          </cell>
          <cell r="M26">
            <v>0.144144056375</v>
          </cell>
          <cell r="N26">
            <v>0.14470359387500001</v>
          </cell>
          <cell r="O26">
            <v>0.15409999999999999</v>
          </cell>
          <cell r="P26">
            <v>0.15670000000000001</v>
          </cell>
          <cell r="Q26">
            <v>0.15770000000000001</v>
          </cell>
          <cell r="R26">
            <v>0.16070000000000001</v>
          </cell>
          <cell r="S26">
            <v>0.1608</v>
          </cell>
          <cell r="T26">
            <v>0.16259999999999999</v>
          </cell>
          <cell r="U26">
            <v>0.16370000000000001</v>
          </cell>
          <cell r="V26">
            <v>0.16339999999999999</v>
          </cell>
          <cell r="W26">
            <v>0.16339999999999999</v>
          </cell>
          <cell r="X26">
            <v>0.16270000000000001</v>
          </cell>
          <cell r="Y26">
            <v>0.16220000000000001</v>
          </cell>
          <cell r="Z26">
            <v>0.1615</v>
          </cell>
          <cell r="AA26">
            <v>0.1613</v>
          </cell>
          <cell r="AB26">
            <v>0.16109999999999999</v>
          </cell>
          <cell r="AC26">
            <v>0.1605</v>
          </cell>
        </row>
        <row r="27">
          <cell r="D27" t="str">
            <v>Ellis</v>
          </cell>
          <cell r="E27">
            <v>0.1457</v>
          </cell>
          <cell r="F27">
            <v>0.14530000000000001</v>
          </cell>
          <cell r="G27">
            <v>0.1469</v>
          </cell>
          <cell r="H27">
            <v>0.14399999999999999</v>
          </cell>
          <cell r="I27">
            <v>0.1381</v>
          </cell>
          <cell r="J27">
            <v>0.1363</v>
          </cell>
          <cell r="K27">
            <v>0.136742091875</v>
          </cell>
          <cell r="L27">
            <v>0.13652268012499999</v>
          </cell>
          <cell r="M27">
            <v>0.13632960650000001</v>
          </cell>
          <cell r="N27">
            <v>0.136386494</v>
          </cell>
          <cell r="O27">
            <v>0.13789999999999999</v>
          </cell>
          <cell r="P27">
            <v>0.13789999999999999</v>
          </cell>
          <cell r="Q27">
            <v>0.13789999999999999</v>
          </cell>
          <cell r="R27">
            <v>0.13789999999999999</v>
          </cell>
          <cell r="S27">
            <v>0.13780000000000001</v>
          </cell>
          <cell r="T27">
            <v>0.13789999999999999</v>
          </cell>
          <cell r="U27">
            <v>0.13789999999999999</v>
          </cell>
          <cell r="V27">
            <v>0.13800000000000001</v>
          </cell>
          <cell r="W27">
            <v>0.13789999999999999</v>
          </cell>
          <cell r="X27">
            <v>0.13789999999999999</v>
          </cell>
          <cell r="Y27">
            <v>0.13789999999999999</v>
          </cell>
          <cell r="Z27">
            <v>0.13789999999999999</v>
          </cell>
          <cell r="AA27">
            <v>0.13800000000000001</v>
          </cell>
          <cell r="AB27">
            <v>0.13830000000000001</v>
          </cell>
          <cell r="AC27">
            <v>0.1384</v>
          </cell>
        </row>
        <row r="28">
          <cell r="D28" t="str">
            <v>Ellsworth</v>
          </cell>
          <cell r="E28">
            <v>0.15029999999999999</v>
          </cell>
          <cell r="F28">
            <v>0.15040000000000001</v>
          </cell>
          <cell r="G28">
            <v>0.15210000000000001</v>
          </cell>
          <cell r="H28">
            <v>0.14910000000000001</v>
          </cell>
          <cell r="I28">
            <v>0.14349999999999999</v>
          </cell>
          <cell r="J28">
            <v>0.14299999999999999</v>
          </cell>
          <cell r="K28">
            <v>0.14492011999999999</v>
          </cell>
          <cell r="L28">
            <v>0.1461047255</v>
          </cell>
          <cell r="M28">
            <v>0.14728664525000001</v>
          </cell>
          <cell r="N28">
            <v>0.14832307024999999</v>
          </cell>
          <cell r="O28">
            <v>0.1492</v>
          </cell>
          <cell r="P28">
            <v>0.1487</v>
          </cell>
          <cell r="Q28">
            <v>0.1484</v>
          </cell>
          <cell r="R28">
            <v>0.1474</v>
          </cell>
          <cell r="S28">
            <v>0.14710000000000001</v>
          </cell>
          <cell r="T28">
            <v>0.1462</v>
          </cell>
          <cell r="U28">
            <v>0.1459</v>
          </cell>
          <cell r="V28">
            <v>0.14560000000000001</v>
          </cell>
          <cell r="W28">
            <v>0.1452</v>
          </cell>
          <cell r="X28">
            <v>0.14499999999999999</v>
          </cell>
          <cell r="Y28">
            <v>0.14460000000000001</v>
          </cell>
          <cell r="Z28">
            <v>0.14430000000000001</v>
          </cell>
          <cell r="AA28">
            <v>0.14419999999999999</v>
          </cell>
          <cell r="AB28">
            <v>0.14430000000000001</v>
          </cell>
          <cell r="AC28">
            <v>0.14430000000000001</v>
          </cell>
        </row>
        <row r="29">
          <cell r="D29" t="str">
            <v>Finney</v>
          </cell>
          <cell r="E29">
            <v>0.14760000000000001</v>
          </cell>
          <cell r="F29">
            <v>0.14779999999999999</v>
          </cell>
          <cell r="G29">
            <v>0.14929999999999999</v>
          </cell>
          <cell r="H29">
            <v>0.14610000000000001</v>
          </cell>
          <cell r="I29">
            <v>0.1404</v>
          </cell>
          <cell r="J29">
            <v>0.1389</v>
          </cell>
          <cell r="K29">
            <v>0.139175604875</v>
          </cell>
          <cell r="L29">
            <v>0.13927290612499998</v>
          </cell>
          <cell r="M29">
            <v>0.13953325962499999</v>
          </cell>
          <cell r="N29">
            <v>0.13950220962500001</v>
          </cell>
          <cell r="O29">
            <v>0.14030000000000001</v>
          </cell>
          <cell r="P29">
            <v>0.1406</v>
          </cell>
          <cell r="Q29">
            <v>0.14080000000000001</v>
          </cell>
          <cell r="R29">
            <v>0.1409</v>
          </cell>
          <cell r="S29">
            <v>0.14119999999999999</v>
          </cell>
          <cell r="T29">
            <v>0.14180000000000001</v>
          </cell>
          <cell r="U29">
            <v>0.14249999999999999</v>
          </cell>
          <cell r="V29">
            <v>0.1431</v>
          </cell>
          <cell r="W29">
            <v>0.14369999999999999</v>
          </cell>
          <cell r="X29">
            <v>0.14419999999999999</v>
          </cell>
          <cell r="Y29">
            <v>0.14480000000000001</v>
          </cell>
          <cell r="Z29">
            <v>0.1454</v>
          </cell>
          <cell r="AA29">
            <v>0.14610000000000001</v>
          </cell>
          <cell r="AB29">
            <v>0.14680000000000001</v>
          </cell>
          <cell r="AC29">
            <v>0.14749999999999999</v>
          </cell>
        </row>
        <row r="30">
          <cell r="D30" t="str">
            <v>Ford</v>
          </cell>
          <cell r="E30">
            <v>0.1552</v>
          </cell>
          <cell r="F30">
            <v>0.15479999999999999</v>
          </cell>
          <cell r="G30">
            <v>0.15670000000000001</v>
          </cell>
          <cell r="H30">
            <v>0.15359999999999999</v>
          </cell>
          <cell r="I30">
            <v>0.14760000000000001</v>
          </cell>
          <cell r="J30">
            <v>0.14660000000000001</v>
          </cell>
          <cell r="K30">
            <v>0.14768899137499999</v>
          </cell>
          <cell r="L30">
            <v>0.14837833137500001</v>
          </cell>
          <cell r="M30">
            <v>0.14892596750000001</v>
          </cell>
          <cell r="N30">
            <v>0.149503055</v>
          </cell>
          <cell r="O30">
            <v>0.15359999999999999</v>
          </cell>
          <cell r="P30">
            <v>0.154</v>
          </cell>
          <cell r="Q30">
            <v>0.15429999999999999</v>
          </cell>
          <cell r="R30">
            <v>0.15529999999999999</v>
          </cell>
          <cell r="S30">
            <v>0.1555</v>
          </cell>
          <cell r="T30">
            <v>0.15609999999999999</v>
          </cell>
          <cell r="U30">
            <v>0.1565</v>
          </cell>
          <cell r="V30">
            <v>0.15690000000000001</v>
          </cell>
          <cell r="W30">
            <v>0.1573</v>
          </cell>
          <cell r="X30">
            <v>0.1575</v>
          </cell>
          <cell r="Y30">
            <v>0.15770000000000001</v>
          </cell>
          <cell r="Z30">
            <v>0.1578</v>
          </cell>
          <cell r="AA30">
            <v>0.15790000000000001</v>
          </cell>
          <cell r="AB30">
            <v>0.158</v>
          </cell>
          <cell r="AC30">
            <v>0.15790000000000001</v>
          </cell>
        </row>
        <row r="31">
          <cell r="D31" t="str">
            <v>Franklin</v>
          </cell>
          <cell r="E31">
            <v>0.14849999999999999</v>
          </cell>
          <cell r="F31">
            <v>0.14810000000000001</v>
          </cell>
          <cell r="G31">
            <v>0.1497</v>
          </cell>
          <cell r="H31">
            <v>0.1462</v>
          </cell>
          <cell r="I31">
            <v>0.1401</v>
          </cell>
          <cell r="J31">
            <v>0.13850000000000001</v>
          </cell>
          <cell r="K31">
            <v>0.13913323925000001</v>
          </cell>
          <cell r="L31">
            <v>0.13942999775000001</v>
          </cell>
          <cell r="M31">
            <v>0.13982589500000001</v>
          </cell>
          <cell r="N31">
            <v>0.1403610575</v>
          </cell>
          <cell r="O31">
            <v>0.1434</v>
          </cell>
          <cell r="P31">
            <v>0.14399999999999999</v>
          </cell>
          <cell r="Q31">
            <v>0.1444</v>
          </cell>
          <cell r="R31">
            <v>0.14510000000000001</v>
          </cell>
          <cell r="S31">
            <v>0.1454</v>
          </cell>
          <cell r="T31">
            <v>0.1462</v>
          </cell>
          <cell r="U31">
            <v>0.14680000000000001</v>
          </cell>
          <cell r="V31">
            <v>0.14729999999999999</v>
          </cell>
          <cell r="W31">
            <v>0.1477</v>
          </cell>
          <cell r="X31">
            <v>0.1482</v>
          </cell>
          <cell r="Y31">
            <v>0.1484</v>
          </cell>
          <cell r="Z31">
            <v>0.14860000000000001</v>
          </cell>
          <cell r="AA31">
            <v>0.1487</v>
          </cell>
          <cell r="AB31">
            <v>0.14860000000000001</v>
          </cell>
          <cell r="AC31">
            <v>0.14810000000000001</v>
          </cell>
        </row>
        <row r="32">
          <cell r="D32" t="str">
            <v>Geary</v>
          </cell>
          <cell r="E32">
            <v>0.1447</v>
          </cell>
          <cell r="F32">
            <v>0.1444</v>
          </cell>
          <cell r="G32">
            <v>0.1459</v>
          </cell>
          <cell r="H32">
            <v>0.1431</v>
          </cell>
          <cell r="I32">
            <v>0.13739999999999999</v>
          </cell>
          <cell r="J32">
            <v>0.13589999999999999</v>
          </cell>
          <cell r="K32">
            <v>0.1366014425</v>
          </cell>
          <cell r="L32">
            <v>0.13711889599999999</v>
          </cell>
          <cell r="M32">
            <v>0.1373565065</v>
          </cell>
          <cell r="N32">
            <v>0.13770911899999999</v>
          </cell>
          <cell r="O32">
            <v>0.14030000000000001</v>
          </cell>
          <cell r="P32">
            <v>0.1406</v>
          </cell>
          <cell r="Q32">
            <v>0.14080000000000001</v>
          </cell>
          <cell r="R32">
            <v>0.1414</v>
          </cell>
          <cell r="S32">
            <v>0.1416</v>
          </cell>
          <cell r="T32">
            <v>0.14199999999999999</v>
          </cell>
          <cell r="U32">
            <v>0.1426</v>
          </cell>
          <cell r="V32">
            <v>0.14360000000000001</v>
          </cell>
          <cell r="W32">
            <v>0.14430000000000001</v>
          </cell>
          <cell r="X32">
            <v>0.1449</v>
          </cell>
          <cell r="Y32">
            <v>0.1454</v>
          </cell>
          <cell r="Z32">
            <v>0.14599999999999999</v>
          </cell>
          <cell r="AA32">
            <v>0.14649999999999999</v>
          </cell>
          <cell r="AB32">
            <v>0.1464</v>
          </cell>
          <cell r="AC32">
            <v>0.1459</v>
          </cell>
        </row>
        <row r="33">
          <cell r="D33" t="str">
            <v>Gove</v>
          </cell>
          <cell r="E33">
            <v>0.1482</v>
          </cell>
          <cell r="F33">
            <v>0.1484</v>
          </cell>
          <cell r="G33">
            <v>0.1502</v>
          </cell>
          <cell r="H33">
            <v>0.1472</v>
          </cell>
          <cell r="I33">
            <v>0.1411</v>
          </cell>
          <cell r="J33">
            <v>0.13900000000000001</v>
          </cell>
          <cell r="K33">
            <v>0.1392349205</v>
          </cell>
          <cell r="L33">
            <v>0.13910394500000001</v>
          </cell>
          <cell r="M33">
            <v>0.13898307274999999</v>
          </cell>
          <cell r="N33">
            <v>0.13901337275</v>
          </cell>
          <cell r="O33">
            <v>0.1421</v>
          </cell>
          <cell r="P33">
            <v>0.1426</v>
          </cell>
          <cell r="Q33">
            <v>0.14249999999999999</v>
          </cell>
          <cell r="R33">
            <v>0.14280000000000001</v>
          </cell>
          <cell r="S33">
            <v>0.14319999999999999</v>
          </cell>
          <cell r="T33">
            <v>0.1439</v>
          </cell>
          <cell r="U33">
            <v>0.1449</v>
          </cell>
          <cell r="V33">
            <v>0.1464</v>
          </cell>
          <cell r="W33">
            <v>0.14710000000000001</v>
          </cell>
          <cell r="X33">
            <v>0.1477</v>
          </cell>
          <cell r="Y33">
            <v>0.14860000000000001</v>
          </cell>
          <cell r="Z33">
            <v>0.14949999999999999</v>
          </cell>
          <cell r="AA33">
            <v>0.14990000000000001</v>
          </cell>
          <cell r="AB33">
            <v>0.1507</v>
          </cell>
          <cell r="AC33">
            <v>0.15049999999999999</v>
          </cell>
        </row>
        <row r="34">
          <cell r="D34" t="str">
            <v>Graham</v>
          </cell>
          <cell r="E34">
            <v>0.15659999999999999</v>
          </cell>
          <cell r="F34">
            <v>0.15670000000000001</v>
          </cell>
          <cell r="G34">
            <v>0.15870000000000001</v>
          </cell>
          <cell r="H34">
            <v>0.15590000000000001</v>
          </cell>
          <cell r="I34">
            <v>0.15060000000000001</v>
          </cell>
          <cell r="J34">
            <v>0.14940000000000001</v>
          </cell>
          <cell r="K34">
            <v>0.150265317875</v>
          </cell>
          <cell r="L34">
            <v>0.15020050362499998</v>
          </cell>
          <cell r="M34">
            <v>0.149926538375</v>
          </cell>
          <cell r="N34">
            <v>0.149224463375</v>
          </cell>
          <cell r="O34">
            <v>0.1484</v>
          </cell>
          <cell r="P34">
            <v>0.14849999999999999</v>
          </cell>
          <cell r="Q34">
            <v>0.14849999999999999</v>
          </cell>
          <cell r="R34">
            <v>0.14810000000000001</v>
          </cell>
          <cell r="S34">
            <v>0.14799999999999999</v>
          </cell>
          <cell r="T34">
            <v>0.14849999999999999</v>
          </cell>
          <cell r="U34">
            <v>0.14949999999999999</v>
          </cell>
          <cell r="V34">
            <v>0.151</v>
          </cell>
          <cell r="W34">
            <v>0.15129999999999999</v>
          </cell>
          <cell r="X34">
            <v>0.1517</v>
          </cell>
          <cell r="Y34">
            <v>0.15229999999999999</v>
          </cell>
          <cell r="Z34">
            <v>0.15340000000000001</v>
          </cell>
          <cell r="AA34">
            <v>0.15440000000000001</v>
          </cell>
          <cell r="AB34">
            <v>0.15559999999999999</v>
          </cell>
          <cell r="AC34">
            <v>0.15570000000000001</v>
          </cell>
        </row>
        <row r="35">
          <cell r="D35" t="str">
            <v>Grant</v>
          </cell>
          <cell r="E35">
            <v>0.13750000000000001</v>
          </cell>
          <cell r="F35">
            <v>0.13830000000000001</v>
          </cell>
          <cell r="G35">
            <v>0.1406</v>
          </cell>
          <cell r="H35">
            <v>0.13819999999999999</v>
          </cell>
          <cell r="I35">
            <v>0.1331</v>
          </cell>
          <cell r="J35">
            <v>0.13139999999999999</v>
          </cell>
          <cell r="K35">
            <v>0.13176195274999999</v>
          </cell>
          <cell r="L35">
            <v>0.13177715525</v>
          </cell>
          <cell r="M35">
            <v>0.13171506012500001</v>
          </cell>
          <cell r="N35">
            <v>0.13115631012500001</v>
          </cell>
          <cell r="O35">
            <v>0.1326</v>
          </cell>
          <cell r="P35">
            <v>0.13339999999999999</v>
          </cell>
          <cell r="Q35">
            <v>0.1338</v>
          </cell>
          <cell r="R35">
            <v>0.13489999999999999</v>
          </cell>
          <cell r="S35">
            <v>0.1353</v>
          </cell>
          <cell r="T35">
            <v>0.1368</v>
          </cell>
          <cell r="U35">
            <v>0.13789999999999999</v>
          </cell>
          <cell r="V35">
            <v>0.13819999999999999</v>
          </cell>
          <cell r="W35">
            <v>0.13830000000000001</v>
          </cell>
          <cell r="X35">
            <v>0.13800000000000001</v>
          </cell>
          <cell r="Y35">
            <v>0.13819999999999999</v>
          </cell>
          <cell r="Z35">
            <v>0.13900000000000001</v>
          </cell>
          <cell r="AA35">
            <v>0.14000000000000001</v>
          </cell>
          <cell r="AB35">
            <v>0.1404</v>
          </cell>
          <cell r="AC35">
            <v>0.14119999999999999</v>
          </cell>
        </row>
        <row r="36">
          <cell r="D36" t="str">
            <v>Gray</v>
          </cell>
          <cell r="E36">
            <v>0.1515</v>
          </cell>
          <cell r="F36">
            <v>0.1517</v>
          </cell>
          <cell r="G36">
            <v>0.15310000000000001</v>
          </cell>
          <cell r="H36">
            <v>0.14960000000000001</v>
          </cell>
          <cell r="I36">
            <v>0.14349999999999999</v>
          </cell>
          <cell r="J36">
            <v>0.14180000000000001</v>
          </cell>
          <cell r="K36">
            <v>0.142293336125</v>
          </cell>
          <cell r="L36">
            <v>0.142364643125</v>
          </cell>
          <cell r="M36">
            <v>0.14242592525</v>
          </cell>
          <cell r="N36">
            <v>0.14241396275000001</v>
          </cell>
          <cell r="O36">
            <v>0.1459</v>
          </cell>
          <cell r="P36">
            <v>0.14660000000000001</v>
          </cell>
          <cell r="Q36">
            <v>0.14699999999999999</v>
          </cell>
          <cell r="R36">
            <v>0.14799999999999999</v>
          </cell>
          <cell r="S36">
            <v>0.1477</v>
          </cell>
          <cell r="T36">
            <v>0.14810000000000001</v>
          </cell>
          <cell r="U36">
            <v>0.1479</v>
          </cell>
          <cell r="V36">
            <v>0.14779999999999999</v>
          </cell>
          <cell r="W36">
            <v>0.14749999999999999</v>
          </cell>
          <cell r="X36">
            <v>0.14710000000000001</v>
          </cell>
          <cell r="Y36">
            <v>0.1467</v>
          </cell>
          <cell r="Z36">
            <v>0.14630000000000001</v>
          </cell>
          <cell r="AA36">
            <v>0.1467</v>
          </cell>
          <cell r="AB36">
            <v>0.14710000000000001</v>
          </cell>
          <cell r="AC36">
            <v>0.1472</v>
          </cell>
        </row>
        <row r="37">
          <cell r="D37" t="str">
            <v>Greeley</v>
          </cell>
          <cell r="E37">
            <v>0.14710000000000001</v>
          </cell>
          <cell r="F37">
            <v>0.14749999999999999</v>
          </cell>
          <cell r="G37">
            <v>0.14979999999999999</v>
          </cell>
          <cell r="H37">
            <v>0.14749999999999999</v>
          </cell>
          <cell r="I37">
            <v>0.14319999999999999</v>
          </cell>
          <cell r="J37">
            <v>0.14280000000000001</v>
          </cell>
          <cell r="K37">
            <v>0.144100792625</v>
          </cell>
          <cell r="L37">
            <v>0.14504033937499999</v>
          </cell>
          <cell r="M37">
            <v>0.14536763562499999</v>
          </cell>
          <cell r="N37">
            <v>0.14599744812499998</v>
          </cell>
          <cell r="O37">
            <v>0.14779999999999999</v>
          </cell>
          <cell r="P37">
            <v>0.14860000000000001</v>
          </cell>
          <cell r="Q37">
            <v>0.1507</v>
          </cell>
          <cell r="R37">
            <v>0.15359999999999999</v>
          </cell>
          <cell r="S37">
            <v>0.1547</v>
          </cell>
          <cell r="T37">
            <v>0.1578</v>
          </cell>
          <cell r="U37">
            <v>0.15989999999999999</v>
          </cell>
          <cell r="V37">
            <v>0.16189999999999999</v>
          </cell>
          <cell r="W37">
            <v>0.1641</v>
          </cell>
          <cell r="X37">
            <v>0.16589999999999999</v>
          </cell>
          <cell r="Y37">
            <v>0.1661</v>
          </cell>
          <cell r="Z37">
            <v>0.16689999999999999</v>
          </cell>
          <cell r="AA37">
            <v>0.1681</v>
          </cell>
          <cell r="AB37">
            <v>0.16950000000000001</v>
          </cell>
          <cell r="AC37">
            <v>0.17199999999999999</v>
          </cell>
        </row>
        <row r="38">
          <cell r="D38" t="str">
            <v>Greenwood</v>
          </cell>
          <cell r="E38">
            <v>0.1585</v>
          </cell>
          <cell r="F38">
            <v>0.1575</v>
          </cell>
          <cell r="G38">
            <v>0.15809999999999999</v>
          </cell>
          <cell r="H38">
            <v>0.15429999999999999</v>
          </cell>
          <cell r="I38">
            <v>0.1474</v>
          </cell>
          <cell r="J38">
            <v>0.14510000000000001</v>
          </cell>
          <cell r="K38">
            <v>0.1453923215</v>
          </cell>
          <cell r="L38">
            <v>0.14530820375</v>
          </cell>
          <cell r="M38">
            <v>0.14514003612500001</v>
          </cell>
          <cell r="N38">
            <v>0.14559697362499999</v>
          </cell>
          <cell r="O38">
            <v>0.15090000000000001</v>
          </cell>
          <cell r="P38">
            <v>0.15179999999999999</v>
          </cell>
          <cell r="Q38">
            <v>0.15240000000000001</v>
          </cell>
          <cell r="R38">
            <v>0.1537</v>
          </cell>
          <cell r="S38">
            <v>0.154</v>
          </cell>
          <cell r="T38">
            <v>0.15509999999999999</v>
          </cell>
          <cell r="U38">
            <v>0.15559999999999999</v>
          </cell>
          <cell r="V38">
            <v>0.156</v>
          </cell>
          <cell r="W38">
            <v>0.1565</v>
          </cell>
          <cell r="X38">
            <v>0.15670000000000001</v>
          </cell>
          <cell r="Y38">
            <v>0.15679999999999999</v>
          </cell>
          <cell r="Z38">
            <v>0.15690000000000001</v>
          </cell>
          <cell r="AA38">
            <v>0.15690000000000001</v>
          </cell>
          <cell r="AB38">
            <v>0.15709999999999999</v>
          </cell>
          <cell r="AC38">
            <v>0.15720000000000001</v>
          </cell>
        </row>
        <row r="39">
          <cell r="D39" t="str">
            <v>Hamilton</v>
          </cell>
          <cell r="E39">
            <v>0.14910000000000001</v>
          </cell>
          <cell r="F39">
            <v>0.1497</v>
          </cell>
          <cell r="G39">
            <v>0.15190000000000001</v>
          </cell>
          <cell r="H39">
            <v>0.14929999999999999</v>
          </cell>
          <cell r="I39">
            <v>0.1452</v>
          </cell>
          <cell r="J39">
            <v>0.14460000000000001</v>
          </cell>
          <cell r="K39">
            <v>0.14594405525000001</v>
          </cell>
          <cell r="L39">
            <v>0.14609973650000002</v>
          </cell>
          <cell r="M39">
            <v>0.14646985700000001</v>
          </cell>
          <cell r="N39">
            <v>0.14644638200000001</v>
          </cell>
          <cell r="O39">
            <v>0.1472</v>
          </cell>
          <cell r="P39">
            <v>0.1489</v>
          </cell>
          <cell r="Q39">
            <v>0.15029999999999999</v>
          </cell>
          <cell r="R39">
            <v>0.15240000000000001</v>
          </cell>
          <cell r="S39">
            <v>0.15390000000000001</v>
          </cell>
          <cell r="T39">
            <v>0.1575</v>
          </cell>
          <cell r="U39">
            <v>0.15989999999999999</v>
          </cell>
          <cell r="V39">
            <v>0.16209999999999999</v>
          </cell>
          <cell r="W39">
            <v>0.16389999999999999</v>
          </cell>
          <cell r="X39">
            <v>0.1646</v>
          </cell>
          <cell r="Y39">
            <v>0.1653</v>
          </cell>
          <cell r="Z39">
            <v>0.16619999999999999</v>
          </cell>
          <cell r="AA39">
            <v>0.1666</v>
          </cell>
          <cell r="AB39">
            <v>0.16669999999999999</v>
          </cell>
          <cell r="AC39">
            <v>0.16650000000000001</v>
          </cell>
        </row>
        <row r="40">
          <cell r="D40" t="str">
            <v>Harper</v>
          </cell>
          <cell r="E40">
            <v>0.15160000000000001</v>
          </cell>
          <cell r="F40">
            <v>0.1515</v>
          </cell>
          <cell r="G40">
            <v>0.1532</v>
          </cell>
          <cell r="H40">
            <v>0.15029999999999999</v>
          </cell>
          <cell r="I40">
            <v>0.14499999999999999</v>
          </cell>
          <cell r="J40">
            <v>0.14460000000000001</v>
          </cell>
          <cell r="K40">
            <v>0.14582237149999999</v>
          </cell>
          <cell r="L40">
            <v>0.14702777187499999</v>
          </cell>
          <cell r="M40">
            <v>0.14806937337500001</v>
          </cell>
          <cell r="N40">
            <v>0.14879308587500001</v>
          </cell>
          <cell r="O40">
            <v>0.14990000000000001</v>
          </cell>
          <cell r="P40">
            <v>0.1502</v>
          </cell>
          <cell r="Q40">
            <v>0.15049999999999999</v>
          </cell>
          <cell r="R40">
            <v>0.15040000000000001</v>
          </cell>
          <cell r="S40">
            <v>0.15029999999999999</v>
          </cell>
          <cell r="T40">
            <v>0.15029999999999999</v>
          </cell>
          <cell r="U40">
            <v>0.1507</v>
          </cell>
          <cell r="V40">
            <v>0.15129999999999999</v>
          </cell>
          <cell r="W40">
            <v>0.1515</v>
          </cell>
          <cell r="X40">
            <v>0.15129999999999999</v>
          </cell>
          <cell r="Y40">
            <v>0.1512</v>
          </cell>
          <cell r="Z40">
            <v>0.15140000000000001</v>
          </cell>
          <cell r="AA40">
            <v>0.15160000000000001</v>
          </cell>
          <cell r="AB40">
            <v>0.1522</v>
          </cell>
          <cell r="AC40">
            <v>0.15229999999999999</v>
          </cell>
        </row>
        <row r="41">
          <cell r="D41" t="str">
            <v>Harvey</v>
          </cell>
          <cell r="E41">
            <v>0.15029999999999999</v>
          </cell>
          <cell r="F41">
            <v>0.14960000000000001</v>
          </cell>
          <cell r="G41">
            <v>0.15079999999999999</v>
          </cell>
          <cell r="H41">
            <v>0.14699999999999999</v>
          </cell>
          <cell r="I41">
            <v>0.1404</v>
          </cell>
          <cell r="J41">
            <v>0.13830000000000001</v>
          </cell>
          <cell r="K41">
            <v>0.13860136212499999</v>
          </cell>
          <cell r="L41">
            <v>0.138390086375</v>
          </cell>
          <cell r="M41">
            <v>0.13821542637500001</v>
          </cell>
          <cell r="N41">
            <v>0.138113688875</v>
          </cell>
          <cell r="O41">
            <v>0.1399</v>
          </cell>
          <cell r="P41">
            <v>0.14030000000000001</v>
          </cell>
          <cell r="Q41">
            <v>0.1406</v>
          </cell>
          <cell r="R41">
            <v>0.14130000000000001</v>
          </cell>
          <cell r="S41">
            <v>0.1416</v>
          </cell>
          <cell r="T41">
            <v>0.14219999999999999</v>
          </cell>
          <cell r="U41">
            <v>0.14269999999999999</v>
          </cell>
          <cell r="V41">
            <v>0.14330000000000001</v>
          </cell>
          <cell r="W41">
            <v>0.14380000000000001</v>
          </cell>
          <cell r="X41">
            <v>0.14419999999999999</v>
          </cell>
          <cell r="Y41">
            <v>0.14460000000000001</v>
          </cell>
          <cell r="Z41">
            <v>0.14499999999999999</v>
          </cell>
          <cell r="AA41">
            <v>0.14530000000000001</v>
          </cell>
          <cell r="AB41">
            <v>0.1457</v>
          </cell>
          <cell r="AC41">
            <v>0.1462</v>
          </cell>
        </row>
        <row r="42">
          <cell r="D42" t="str">
            <v>Haskell</v>
          </cell>
          <cell r="E42">
            <v>0.13769999999999999</v>
          </cell>
          <cell r="F42">
            <v>0.13800000000000001</v>
          </cell>
          <cell r="G42">
            <v>0.14000000000000001</v>
          </cell>
          <cell r="H42">
            <v>0.13750000000000001</v>
          </cell>
          <cell r="I42">
            <v>0.13250000000000001</v>
          </cell>
          <cell r="J42">
            <v>0.1313</v>
          </cell>
          <cell r="K42">
            <v>0.13222488874999999</v>
          </cell>
          <cell r="L42">
            <v>0.132698694875</v>
          </cell>
          <cell r="M42">
            <v>0.1330793915</v>
          </cell>
          <cell r="N42">
            <v>0.13328991649999999</v>
          </cell>
          <cell r="O42">
            <v>0.13339999999999999</v>
          </cell>
          <cell r="P42">
            <v>0.13350000000000001</v>
          </cell>
          <cell r="Q42">
            <v>0.1338</v>
          </cell>
          <cell r="R42">
            <v>0.13389999999999999</v>
          </cell>
          <cell r="S42">
            <v>0.13439999999999999</v>
          </cell>
          <cell r="T42">
            <v>0.13550000000000001</v>
          </cell>
          <cell r="U42">
            <v>0.1368</v>
          </cell>
          <cell r="V42">
            <v>0.1406</v>
          </cell>
          <cell r="W42">
            <v>0.1431</v>
          </cell>
          <cell r="X42">
            <v>0.14530000000000001</v>
          </cell>
          <cell r="Y42">
            <v>0.14749999999999999</v>
          </cell>
          <cell r="Z42">
            <v>0.1502</v>
          </cell>
          <cell r="AA42">
            <v>0.1522</v>
          </cell>
          <cell r="AB42">
            <v>0.15379999999999999</v>
          </cell>
          <cell r="AC42">
            <v>0.15340000000000001</v>
          </cell>
        </row>
        <row r="43">
          <cell r="D43" t="str">
            <v>Hodgeman</v>
          </cell>
          <cell r="E43">
            <v>0.1585</v>
          </cell>
          <cell r="F43">
            <v>0.15939999999999999</v>
          </cell>
          <cell r="G43">
            <v>0.1618</v>
          </cell>
          <cell r="H43">
            <v>0.15909999999999999</v>
          </cell>
          <cell r="I43">
            <v>0.15390000000000001</v>
          </cell>
          <cell r="J43">
            <v>0.15260000000000001</v>
          </cell>
          <cell r="K43">
            <v>0.15335770999999998</v>
          </cell>
          <cell r="L43">
            <v>0.1530313415</v>
          </cell>
          <cell r="M43">
            <v>0.1531999235</v>
          </cell>
          <cell r="N43">
            <v>0.15395851099999999</v>
          </cell>
          <cell r="O43">
            <v>0.15909999999999999</v>
          </cell>
          <cell r="P43">
            <v>0.1603</v>
          </cell>
          <cell r="Q43">
            <v>0.1603</v>
          </cell>
          <cell r="R43">
            <v>0.16009999999999999</v>
          </cell>
          <cell r="S43">
            <v>0.15959999999999999</v>
          </cell>
          <cell r="T43">
            <v>0.16</v>
          </cell>
          <cell r="U43">
            <v>0.1598</v>
          </cell>
          <cell r="V43">
            <v>0.1598</v>
          </cell>
          <cell r="W43">
            <v>0.15939999999999999</v>
          </cell>
          <cell r="X43">
            <v>0.15970000000000001</v>
          </cell>
          <cell r="Y43">
            <v>0.1603</v>
          </cell>
          <cell r="Z43">
            <v>0.1615</v>
          </cell>
          <cell r="AA43">
            <v>0.16289999999999999</v>
          </cell>
          <cell r="AB43">
            <v>0.1641</v>
          </cell>
          <cell r="AC43">
            <v>0.16450000000000001</v>
          </cell>
        </row>
        <row r="44">
          <cell r="D44" t="str">
            <v>Jackson</v>
          </cell>
          <cell r="E44">
            <v>0.151</v>
          </cell>
          <cell r="F44">
            <v>0.15010000000000001</v>
          </cell>
          <cell r="G44">
            <v>0.15160000000000001</v>
          </cell>
          <cell r="H44">
            <v>0.14779999999999999</v>
          </cell>
          <cell r="I44">
            <v>0.14169999999999999</v>
          </cell>
          <cell r="J44">
            <v>0.1401</v>
          </cell>
          <cell r="K44">
            <v>0.14008864662499998</v>
          </cell>
          <cell r="L44">
            <v>0.140281731125</v>
          </cell>
          <cell r="M44">
            <v>0.140174987375</v>
          </cell>
          <cell r="N44">
            <v>0.14033458737499999</v>
          </cell>
          <cell r="O44">
            <v>0.14449999999999999</v>
          </cell>
          <cell r="P44">
            <v>0.1454</v>
          </cell>
          <cell r="Q44">
            <v>0.1459</v>
          </cell>
          <cell r="R44">
            <v>0.14729999999999999</v>
          </cell>
          <cell r="S44">
            <v>0.14760000000000001</v>
          </cell>
          <cell r="T44">
            <v>0.1487</v>
          </cell>
          <cell r="U44">
            <v>0.14929999999999999</v>
          </cell>
          <cell r="V44">
            <v>0.14990000000000001</v>
          </cell>
          <cell r="W44">
            <v>0.15040000000000001</v>
          </cell>
          <cell r="X44">
            <v>0.1507</v>
          </cell>
          <cell r="Y44">
            <v>0.15079999999999999</v>
          </cell>
          <cell r="Z44">
            <v>0.15079999999999999</v>
          </cell>
          <cell r="AA44">
            <v>0.15079999999999999</v>
          </cell>
          <cell r="AB44">
            <v>0.15060000000000001</v>
          </cell>
          <cell r="AC44">
            <v>0.15010000000000001</v>
          </cell>
        </row>
        <row r="45">
          <cell r="D45" t="str">
            <v>Jefferson</v>
          </cell>
          <cell r="E45">
            <v>0.15140000000000001</v>
          </cell>
          <cell r="F45">
            <v>0.15110000000000001</v>
          </cell>
          <cell r="G45">
            <v>0.1532</v>
          </cell>
          <cell r="H45">
            <v>0.1502</v>
          </cell>
          <cell r="I45">
            <v>0.14460000000000001</v>
          </cell>
          <cell r="J45">
            <v>0.1431</v>
          </cell>
          <cell r="K45">
            <v>0.14392303212499999</v>
          </cell>
          <cell r="L45">
            <v>0.144098419625</v>
          </cell>
          <cell r="M45">
            <v>0.144071168375</v>
          </cell>
          <cell r="N45">
            <v>0.14394096837500001</v>
          </cell>
          <cell r="O45">
            <v>0.14560000000000001</v>
          </cell>
          <cell r="P45">
            <v>0.14610000000000001</v>
          </cell>
          <cell r="Q45">
            <v>0.14649999999999999</v>
          </cell>
          <cell r="R45">
            <v>0.1477</v>
          </cell>
          <cell r="S45">
            <v>0.14799999999999999</v>
          </cell>
          <cell r="T45">
            <v>0.14899999999999999</v>
          </cell>
          <cell r="U45">
            <v>0.14960000000000001</v>
          </cell>
          <cell r="V45">
            <v>0.1502</v>
          </cell>
          <cell r="W45">
            <v>0.1507</v>
          </cell>
          <cell r="X45">
            <v>0.15110000000000001</v>
          </cell>
          <cell r="Y45">
            <v>0.15110000000000001</v>
          </cell>
          <cell r="Z45">
            <v>0.15110000000000001</v>
          </cell>
          <cell r="AA45">
            <v>0.15110000000000001</v>
          </cell>
          <cell r="AB45">
            <v>0.15090000000000001</v>
          </cell>
          <cell r="AC45">
            <v>0.1502</v>
          </cell>
        </row>
        <row r="46">
          <cell r="D46" t="str">
            <v>Jewell</v>
          </cell>
          <cell r="E46">
            <v>0.1542</v>
          </cell>
          <cell r="F46">
            <v>0.1547</v>
          </cell>
          <cell r="G46">
            <v>0.15659999999999999</v>
          </cell>
          <cell r="H46">
            <v>0.15329999999999999</v>
          </cell>
          <cell r="I46">
            <v>0.1474</v>
          </cell>
          <cell r="J46">
            <v>0.14599999999999999</v>
          </cell>
          <cell r="K46">
            <v>0.14686096437500001</v>
          </cell>
          <cell r="L46">
            <v>0.14674979225000001</v>
          </cell>
          <cell r="M46">
            <v>0.14696779437500002</v>
          </cell>
          <cell r="N46">
            <v>0.147020444375</v>
          </cell>
          <cell r="O46">
            <v>0.15340000000000001</v>
          </cell>
          <cell r="P46">
            <v>0.155</v>
          </cell>
          <cell r="Q46">
            <v>0.1555</v>
          </cell>
          <cell r="R46">
            <v>0.158</v>
          </cell>
          <cell r="S46">
            <v>0.15859999999999999</v>
          </cell>
          <cell r="T46">
            <v>0.1603</v>
          </cell>
          <cell r="U46">
            <v>0.1605</v>
          </cell>
          <cell r="V46">
            <v>0.1603</v>
          </cell>
          <cell r="W46">
            <v>0.15970000000000001</v>
          </cell>
          <cell r="X46">
            <v>0.15890000000000001</v>
          </cell>
          <cell r="Y46">
            <v>0.15790000000000001</v>
          </cell>
          <cell r="Z46">
            <v>0.15640000000000001</v>
          </cell>
          <cell r="AA46">
            <v>0.155</v>
          </cell>
          <cell r="AB46">
            <v>0.154</v>
          </cell>
          <cell r="AC46">
            <v>0.15279999999999999</v>
          </cell>
        </row>
        <row r="47">
          <cell r="D47" t="str">
            <v>Johnson</v>
          </cell>
          <cell r="E47">
            <v>0.1547</v>
          </cell>
          <cell r="F47">
            <v>0.1535</v>
          </cell>
          <cell r="G47">
            <v>0.1552</v>
          </cell>
          <cell r="H47">
            <v>0.15190000000000001</v>
          </cell>
          <cell r="I47">
            <v>0.14580000000000001</v>
          </cell>
          <cell r="J47">
            <v>0.1439</v>
          </cell>
          <cell r="K47">
            <v>0.1441568855</v>
          </cell>
          <cell r="L47">
            <v>0.14380172675</v>
          </cell>
          <cell r="M47">
            <v>0.14335563725</v>
          </cell>
          <cell r="N47">
            <v>0.14306557475000001</v>
          </cell>
          <cell r="O47">
            <v>0.14419999999999999</v>
          </cell>
          <cell r="P47">
            <v>0.14460000000000001</v>
          </cell>
          <cell r="Q47">
            <v>0.14499999999999999</v>
          </cell>
          <cell r="R47">
            <v>0.14560000000000001</v>
          </cell>
          <cell r="S47">
            <v>0.14580000000000001</v>
          </cell>
          <cell r="T47">
            <v>0.1462</v>
          </cell>
          <cell r="U47">
            <v>0.14660000000000001</v>
          </cell>
          <cell r="V47">
            <v>0.14699999999999999</v>
          </cell>
          <cell r="W47">
            <v>0.14710000000000001</v>
          </cell>
          <cell r="X47">
            <v>0.14699999999999999</v>
          </cell>
          <cell r="Y47">
            <v>0.14680000000000001</v>
          </cell>
          <cell r="Z47">
            <v>0.14649999999999999</v>
          </cell>
          <cell r="AA47">
            <v>0.1462</v>
          </cell>
          <cell r="AB47">
            <v>0.1459</v>
          </cell>
          <cell r="AC47">
            <v>0.14510000000000001</v>
          </cell>
        </row>
        <row r="48">
          <cell r="D48" t="str">
            <v>Kearny</v>
          </cell>
          <cell r="E48">
            <v>0.1356</v>
          </cell>
          <cell r="F48">
            <v>0.13650000000000001</v>
          </cell>
          <cell r="G48">
            <v>0.13869999999999999</v>
          </cell>
          <cell r="H48">
            <v>0.13639999999999999</v>
          </cell>
          <cell r="I48">
            <v>0.13139999999999999</v>
          </cell>
          <cell r="J48">
            <v>0.13009999999999999</v>
          </cell>
          <cell r="K48">
            <v>0.13063582474999999</v>
          </cell>
          <cell r="L48">
            <v>0.13076446624999999</v>
          </cell>
          <cell r="M48">
            <v>0.131279288375</v>
          </cell>
          <cell r="N48">
            <v>0.131301638375</v>
          </cell>
          <cell r="O48">
            <v>0.13339999999999999</v>
          </cell>
          <cell r="P48">
            <v>0.13420000000000001</v>
          </cell>
          <cell r="Q48">
            <v>0.13500000000000001</v>
          </cell>
          <cell r="R48">
            <v>0.13650000000000001</v>
          </cell>
          <cell r="S48">
            <v>0.13719999999999999</v>
          </cell>
          <cell r="T48">
            <v>0.13900000000000001</v>
          </cell>
          <cell r="U48">
            <v>0.14119999999999999</v>
          </cell>
          <cell r="V48">
            <v>0.1447</v>
          </cell>
          <cell r="W48">
            <v>0.14699999999999999</v>
          </cell>
          <cell r="X48">
            <v>0.14849999999999999</v>
          </cell>
          <cell r="Y48">
            <v>0.14949999999999999</v>
          </cell>
          <cell r="Z48">
            <v>0.1512</v>
          </cell>
          <cell r="AA48">
            <v>0.15310000000000001</v>
          </cell>
          <cell r="AB48">
            <v>0.1542</v>
          </cell>
          <cell r="AC48">
            <v>0.15359999999999999</v>
          </cell>
        </row>
        <row r="49">
          <cell r="D49" t="str">
            <v>Kingman</v>
          </cell>
          <cell r="E49">
            <v>0.1482</v>
          </cell>
          <cell r="F49">
            <v>0.1482</v>
          </cell>
          <cell r="G49">
            <v>0.14949999999999999</v>
          </cell>
          <cell r="H49">
            <v>0.1462</v>
          </cell>
          <cell r="I49">
            <v>0.14050000000000001</v>
          </cell>
          <cell r="J49">
            <v>0.13980000000000001</v>
          </cell>
          <cell r="K49">
            <v>0.14124035412499999</v>
          </cell>
          <cell r="L49">
            <v>0.14190776524999998</v>
          </cell>
          <cell r="M49">
            <v>0.14235535475</v>
          </cell>
          <cell r="N49">
            <v>0.14280764225000001</v>
          </cell>
          <cell r="O49">
            <v>0.14399999999999999</v>
          </cell>
          <cell r="P49">
            <v>0.1444</v>
          </cell>
          <cell r="Q49">
            <v>0.1449</v>
          </cell>
          <cell r="R49">
            <v>0.14580000000000001</v>
          </cell>
          <cell r="S49">
            <v>0.14630000000000001</v>
          </cell>
          <cell r="T49">
            <v>0.1479</v>
          </cell>
          <cell r="U49">
            <v>0.1489</v>
          </cell>
          <cell r="V49">
            <v>0.15010000000000001</v>
          </cell>
          <cell r="W49">
            <v>0.15129999999999999</v>
          </cell>
          <cell r="X49">
            <v>0.15229999999999999</v>
          </cell>
          <cell r="Y49">
            <v>0.153</v>
          </cell>
          <cell r="Z49">
            <v>0.1535</v>
          </cell>
          <cell r="AA49">
            <v>0.15379999999999999</v>
          </cell>
          <cell r="AB49">
            <v>0.15409999999999999</v>
          </cell>
          <cell r="AC49">
            <v>0.1545</v>
          </cell>
        </row>
        <row r="50">
          <cell r="D50" t="str">
            <v>Kiowa</v>
          </cell>
          <cell r="E50">
            <v>0.14630000000000001</v>
          </cell>
          <cell r="F50">
            <v>0.14660000000000001</v>
          </cell>
          <cell r="G50">
            <v>0.1489</v>
          </cell>
          <cell r="H50">
            <v>0.14610000000000001</v>
          </cell>
          <cell r="I50">
            <v>0.14080000000000001</v>
          </cell>
          <cell r="J50">
            <v>0.1401</v>
          </cell>
          <cell r="K50">
            <v>0.141162055625</v>
          </cell>
          <cell r="L50">
            <v>0.14161274974999999</v>
          </cell>
          <cell r="M50">
            <v>0.14211538925</v>
          </cell>
          <cell r="N50">
            <v>0.14216050175</v>
          </cell>
          <cell r="O50">
            <v>0.14169999999999999</v>
          </cell>
          <cell r="P50">
            <v>0.14149999999999999</v>
          </cell>
          <cell r="Q50">
            <v>0.14199999999999999</v>
          </cell>
          <cell r="R50">
            <v>0.1419</v>
          </cell>
          <cell r="S50">
            <v>0.1424</v>
          </cell>
          <cell r="T50">
            <v>0.14369999999999999</v>
          </cell>
          <cell r="U50">
            <v>0.14449999999999999</v>
          </cell>
          <cell r="V50">
            <v>0.14560000000000001</v>
          </cell>
          <cell r="W50">
            <v>0.1469</v>
          </cell>
          <cell r="X50">
            <v>0.14799999999999999</v>
          </cell>
          <cell r="Y50">
            <v>0.14849999999999999</v>
          </cell>
          <cell r="Z50">
            <v>0.14910000000000001</v>
          </cell>
          <cell r="AA50">
            <v>0.14949999999999999</v>
          </cell>
          <cell r="AB50">
            <v>0.15010000000000001</v>
          </cell>
          <cell r="AC50">
            <v>0.15079999999999999</v>
          </cell>
        </row>
        <row r="51">
          <cell r="D51" t="str">
            <v>Labette</v>
          </cell>
          <cell r="E51">
            <v>0.1515</v>
          </cell>
          <cell r="F51">
            <v>0.1512</v>
          </cell>
          <cell r="G51">
            <v>0.1525</v>
          </cell>
          <cell r="H51">
            <v>0.14910000000000001</v>
          </cell>
          <cell r="I51">
            <v>0.1429</v>
          </cell>
          <cell r="J51">
            <v>0.14119999999999999</v>
          </cell>
          <cell r="K51">
            <v>0.141660555125</v>
          </cell>
          <cell r="L51">
            <v>0.141855819125</v>
          </cell>
          <cell r="M51">
            <v>0.14214059712499999</v>
          </cell>
          <cell r="N51">
            <v>0.142533934625</v>
          </cell>
          <cell r="O51">
            <v>0.14929999999999999</v>
          </cell>
          <cell r="P51">
            <v>0.1507</v>
          </cell>
          <cell r="Q51">
            <v>0.15129999999999999</v>
          </cell>
          <cell r="R51">
            <v>0.15329999999999999</v>
          </cell>
          <cell r="S51">
            <v>0.15379999999999999</v>
          </cell>
          <cell r="T51">
            <v>0.155</v>
          </cell>
          <cell r="U51">
            <v>0.15590000000000001</v>
          </cell>
          <cell r="V51">
            <v>0.15659999999999999</v>
          </cell>
          <cell r="W51">
            <v>0.157</v>
          </cell>
          <cell r="X51">
            <v>0.1573</v>
          </cell>
          <cell r="Y51">
            <v>0.1573</v>
          </cell>
          <cell r="Z51">
            <v>0.1573</v>
          </cell>
          <cell r="AA51">
            <v>0.15679999999999999</v>
          </cell>
          <cell r="AB51">
            <v>0.15659999999999999</v>
          </cell>
          <cell r="AC51">
            <v>0.156</v>
          </cell>
        </row>
        <row r="52">
          <cell r="D52" t="str">
            <v>Lane</v>
          </cell>
          <cell r="E52">
            <v>0.15679999999999999</v>
          </cell>
          <cell r="F52">
            <v>0.15740000000000001</v>
          </cell>
          <cell r="G52">
            <v>0.159</v>
          </cell>
          <cell r="H52">
            <v>0.15629999999999999</v>
          </cell>
          <cell r="I52">
            <v>0.15160000000000001</v>
          </cell>
          <cell r="J52">
            <v>0.15010000000000001</v>
          </cell>
          <cell r="K52">
            <v>0.15034356612499999</v>
          </cell>
          <cell r="L52">
            <v>0.149962012625</v>
          </cell>
          <cell r="M52">
            <v>0.14968742862500001</v>
          </cell>
          <cell r="N52">
            <v>0.14989461612499999</v>
          </cell>
          <cell r="O52">
            <v>0.15010000000000001</v>
          </cell>
          <cell r="P52">
            <v>0.1502</v>
          </cell>
          <cell r="Q52">
            <v>0.15040000000000001</v>
          </cell>
          <cell r="R52">
            <v>0.15010000000000001</v>
          </cell>
          <cell r="S52">
            <v>0.15010000000000001</v>
          </cell>
          <cell r="T52">
            <v>0.15079999999999999</v>
          </cell>
          <cell r="U52">
            <v>0.15160000000000001</v>
          </cell>
          <cell r="V52">
            <v>0.1535</v>
          </cell>
          <cell r="W52">
            <v>0.1552</v>
          </cell>
          <cell r="X52">
            <v>0.15690000000000001</v>
          </cell>
          <cell r="Y52">
            <v>0.15790000000000001</v>
          </cell>
          <cell r="Z52">
            <v>0.15920000000000001</v>
          </cell>
          <cell r="AA52">
            <v>0.16009999999999999</v>
          </cell>
          <cell r="AB52">
            <v>0.16020000000000001</v>
          </cell>
          <cell r="AC52">
            <v>0.1603</v>
          </cell>
        </row>
        <row r="53">
          <cell r="D53" t="str">
            <v>Leavenworth</v>
          </cell>
          <cell r="E53">
            <v>0.14910000000000001</v>
          </cell>
          <cell r="F53">
            <v>0.14729999999999999</v>
          </cell>
          <cell r="G53">
            <v>0.14799999999999999</v>
          </cell>
          <cell r="H53">
            <v>0.14410000000000001</v>
          </cell>
          <cell r="I53">
            <v>0.13780000000000001</v>
          </cell>
          <cell r="J53">
            <v>0.13600000000000001</v>
          </cell>
          <cell r="K53">
            <v>0.13685968362500001</v>
          </cell>
          <cell r="L53">
            <v>0.13726002875000001</v>
          </cell>
          <cell r="M53">
            <v>0.137332645625</v>
          </cell>
          <cell r="N53">
            <v>0.13770498312500001</v>
          </cell>
          <cell r="O53">
            <v>0.1394</v>
          </cell>
          <cell r="P53">
            <v>0.13969999999999999</v>
          </cell>
          <cell r="Q53">
            <v>0.14000000000000001</v>
          </cell>
          <cell r="R53">
            <v>0.14069999999999999</v>
          </cell>
          <cell r="S53">
            <v>0.1411</v>
          </cell>
          <cell r="T53">
            <v>0.14219999999999999</v>
          </cell>
          <cell r="U53">
            <v>0.14299999999999999</v>
          </cell>
          <cell r="V53">
            <v>0.14360000000000001</v>
          </cell>
          <cell r="W53">
            <v>0.14399999999999999</v>
          </cell>
          <cell r="X53">
            <v>0.14430000000000001</v>
          </cell>
          <cell r="Y53">
            <v>0.14449999999999999</v>
          </cell>
          <cell r="Z53">
            <v>0.1447</v>
          </cell>
          <cell r="AA53">
            <v>0.1447</v>
          </cell>
          <cell r="AB53">
            <v>0.1447</v>
          </cell>
          <cell r="AC53">
            <v>0.1444</v>
          </cell>
        </row>
        <row r="54">
          <cell r="D54" t="str">
            <v>Lincoln</v>
          </cell>
          <cell r="E54">
            <v>0.15690000000000001</v>
          </cell>
          <cell r="F54">
            <v>0.1583</v>
          </cell>
          <cell r="G54">
            <v>0.16020000000000001</v>
          </cell>
          <cell r="H54">
            <v>0.1573</v>
          </cell>
          <cell r="I54">
            <v>0.1517</v>
          </cell>
          <cell r="J54">
            <v>0.15079999999999999</v>
          </cell>
          <cell r="K54">
            <v>0.151405295</v>
          </cell>
          <cell r="L54">
            <v>0.15177765162500001</v>
          </cell>
          <cell r="M54">
            <v>0.15203297674999999</v>
          </cell>
          <cell r="N54">
            <v>0.15212023924999998</v>
          </cell>
          <cell r="O54">
            <v>0.15540000000000001</v>
          </cell>
          <cell r="P54">
            <v>0.156</v>
          </cell>
          <cell r="Q54">
            <v>0.15670000000000001</v>
          </cell>
          <cell r="R54">
            <v>0.1578</v>
          </cell>
          <cell r="S54">
            <v>0.15859999999999999</v>
          </cell>
          <cell r="T54">
            <v>0.1605</v>
          </cell>
          <cell r="U54">
            <v>0.1615</v>
          </cell>
          <cell r="V54">
            <v>0.1618</v>
          </cell>
          <cell r="W54">
            <v>0.16170000000000001</v>
          </cell>
          <cell r="X54">
            <v>0.1613</v>
          </cell>
          <cell r="Y54">
            <v>0.1605</v>
          </cell>
          <cell r="Z54">
            <v>0.15959999999999999</v>
          </cell>
          <cell r="AA54">
            <v>0.158</v>
          </cell>
          <cell r="AB54">
            <v>0.15659999999999999</v>
          </cell>
          <cell r="AC54">
            <v>0.1552</v>
          </cell>
        </row>
        <row r="55">
          <cell r="D55" t="str">
            <v>Linn</v>
          </cell>
          <cell r="E55">
            <v>0.1399</v>
          </cell>
          <cell r="F55">
            <v>0.14050000000000001</v>
          </cell>
          <cell r="G55">
            <v>0.1426</v>
          </cell>
          <cell r="H55">
            <v>0.14000000000000001</v>
          </cell>
          <cell r="I55">
            <v>0.13469999999999999</v>
          </cell>
          <cell r="J55">
            <v>0.13300000000000001</v>
          </cell>
          <cell r="K55">
            <v>0.13376463462499999</v>
          </cell>
          <cell r="L55">
            <v>0.13418647287499999</v>
          </cell>
          <cell r="M55">
            <v>0.13426936287499999</v>
          </cell>
          <cell r="N55">
            <v>0.13435096287500001</v>
          </cell>
          <cell r="O55">
            <v>0.1384</v>
          </cell>
          <cell r="P55">
            <v>0.1394</v>
          </cell>
          <cell r="Q55">
            <v>0.14000000000000001</v>
          </cell>
          <cell r="R55">
            <v>0.14169999999999999</v>
          </cell>
          <cell r="S55">
            <v>0.1421</v>
          </cell>
          <cell r="T55">
            <v>0.14360000000000001</v>
          </cell>
          <cell r="U55">
            <v>0.14410000000000001</v>
          </cell>
          <cell r="V55">
            <v>0.14449999999999999</v>
          </cell>
          <cell r="W55">
            <v>0.14460000000000001</v>
          </cell>
          <cell r="X55">
            <v>0.1444</v>
          </cell>
          <cell r="Y55">
            <v>0.14410000000000001</v>
          </cell>
          <cell r="Z55">
            <v>0.14369999999999999</v>
          </cell>
          <cell r="AA55">
            <v>0.14330000000000001</v>
          </cell>
          <cell r="AB55">
            <v>0.1426</v>
          </cell>
          <cell r="AC55">
            <v>0.1416</v>
          </cell>
        </row>
        <row r="56">
          <cell r="D56" t="str">
            <v>Logan</v>
          </cell>
          <cell r="E56">
            <v>0.14860000000000001</v>
          </cell>
          <cell r="F56">
            <v>0.1489</v>
          </cell>
          <cell r="G56">
            <v>0.15049999999999999</v>
          </cell>
          <cell r="H56">
            <v>0.14710000000000001</v>
          </cell>
          <cell r="I56">
            <v>0.1409</v>
          </cell>
          <cell r="J56">
            <v>0.13969999999999999</v>
          </cell>
          <cell r="K56">
            <v>0.14041412375000001</v>
          </cell>
          <cell r="L56">
            <v>0.14090372674999999</v>
          </cell>
          <cell r="M56">
            <v>0.14126350325000001</v>
          </cell>
          <cell r="N56">
            <v>0.14155461575</v>
          </cell>
          <cell r="O56">
            <v>0.14530000000000001</v>
          </cell>
          <cell r="P56">
            <v>0.1454</v>
          </cell>
          <cell r="Q56">
            <v>0.1454</v>
          </cell>
          <cell r="R56">
            <v>0.14510000000000001</v>
          </cell>
          <cell r="S56">
            <v>0.14510000000000001</v>
          </cell>
          <cell r="T56">
            <v>0.1454</v>
          </cell>
          <cell r="U56">
            <v>0.14530000000000001</v>
          </cell>
          <cell r="V56">
            <v>0.14530000000000001</v>
          </cell>
          <cell r="W56">
            <v>0.14549999999999999</v>
          </cell>
          <cell r="X56">
            <v>0.14560000000000001</v>
          </cell>
          <cell r="Y56">
            <v>0.1459</v>
          </cell>
          <cell r="Z56">
            <v>0.1464</v>
          </cell>
          <cell r="AA56">
            <v>0.14680000000000001</v>
          </cell>
          <cell r="AB56">
            <v>0.14710000000000001</v>
          </cell>
          <cell r="AC56">
            <v>0.14779999999999999</v>
          </cell>
        </row>
        <row r="57">
          <cell r="D57" t="str">
            <v>Lyon</v>
          </cell>
          <cell r="E57">
            <v>0.14979999999999999</v>
          </cell>
          <cell r="F57">
            <v>0.14940000000000001</v>
          </cell>
          <cell r="G57">
            <v>0.15049999999999999</v>
          </cell>
          <cell r="H57">
            <v>0.1469</v>
          </cell>
          <cell r="I57">
            <v>0.14080000000000001</v>
          </cell>
          <cell r="J57">
            <v>0.13880000000000001</v>
          </cell>
          <cell r="K57">
            <v>0.13903770612499999</v>
          </cell>
          <cell r="L57">
            <v>0.13905175624999999</v>
          </cell>
          <cell r="M57">
            <v>0.13912588212499999</v>
          </cell>
          <cell r="N57">
            <v>0.13938133212500001</v>
          </cell>
          <cell r="O57">
            <v>0.1426</v>
          </cell>
          <cell r="P57">
            <v>0.14330000000000001</v>
          </cell>
          <cell r="Q57">
            <v>0.1439</v>
          </cell>
          <cell r="R57">
            <v>0.14510000000000001</v>
          </cell>
          <cell r="S57">
            <v>0.1452</v>
          </cell>
          <cell r="T57">
            <v>0.14560000000000001</v>
          </cell>
          <cell r="U57">
            <v>0.1459</v>
          </cell>
          <cell r="V57">
            <v>0.14630000000000001</v>
          </cell>
          <cell r="W57">
            <v>0.14649999999999999</v>
          </cell>
          <cell r="X57">
            <v>0.14649999999999999</v>
          </cell>
          <cell r="Y57">
            <v>0.1462</v>
          </cell>
          <cell r="Z57">
            <v>0.1454</v>
          </cell>
          <cell r="AA57">
            <v>0.1452</v>
          </cell>
          <cell r="AB57">
            <v>0.14510000000000001</v>
          </cell>
          <cell r="AC57">
            <v>0.1449</v>
          </cell>
        </row>
        <row r="58">
          <cell r="D58" t="str">
            <v>Marion</v>
          </cell>
          <cell r="E58">
            <v>0.1467</v>
          </cell>
          <cell r="F58">
            <v>0.14660000000000001</v>
          </cell>
          <cell r="G58">
            <v>0.14829999999999999</v>
          </cell>
          <cell r="H58">
            <v>0.14530000000000001</v>
          </cell>
          <cell r="I58">
            <v>0.14000000000000001</v>
          </cell>
          <cell r="J58">
            <v>0.13869999999999999</v>
          </cell>
          <cell r="K58">
            <v>0.139777645625</v>
          </cell>
          <cell r="L58">
            <v>0.140464563125</v>
          </cell>
          <cell r="M58">
            <v>0.140976264125</v>
          </cell>
          <cell r="N58">
            <v>0.14147793912500001</v>
          </cell>
          <cell r="O58">
            <v>0.1457</v>
          </cell>
          <cell r="P58">
            <v>0.14660000000000001</v>
          </cell>
          <cell r="Q58">
            <v>0.14699999999999999</v>
          </cell>
          <cell r="R58">
            <v>0.14860000000000001</v>
          </cell>
          <cell r="S58">
            <v>0.14899999999999999</v>
          </cell>
          <cell r="T58">
            <v>0.15</v>
          </cell>
          <cell r="U58">
            <v>0.15060000000000001</v>
          </cell>
          <cell r="V58">
            <v>0.151</v>
          </cell>
          <cell r="W58">
            <v>0.1515</v>
          </cell>
          <cell r="X58">
            <v>0.15190000000000001</v>
          </cell>
          <cell r="Y58">
            <v>0.15210000000000001</v>
          </cell>
          <cell r="Z58">
            <v>0.15240000000000001</v>
          </cell>
          <cell r="AA58">
            <v>0.15240000000000001</v>
          </cell>
          <cell r="AB58">
            <v>0.1525</v>
          </cell>
          <cell r="AC58">
            <v>0.15260000000000001</v>
          </cell>
        </row>
        <row r="59">
          <cell r="D59" t="str">
            <v>Marshall</v>
          </cell>
          <cell r="E59">
            <v>0.1517</v>
          </cell>
          <cell r="F59">
            <v>0.15110000000000001</v>
          </cell>
          <cell r="G59">
            <v>0.15229999999999999</v>
          </cell>
          <cell r="H59">
            <v>0.14849999999999999</v>
          </cell>
          <cell r="I59">
            <v>0.1424</v>
          </cell>
          <cell r="J59">
            <v>0.14080000000000001</v>
          </cell>
          <cell r="K59">
            <v>0.140953290875</v>
          </cell>
          <cell r="L59">
            <v>0.14092100637499999</v>
          </cell>
          <cell r="M59">
            <v>0.140892022625</v>
          </cell>
          <cell r="N59">
            <v>0.140899522625</v>
          </cell>
          <cell r="O59">
            <v>0.14399999999999999</v>
          </cell>
          <cell r="P59">
            <v>0.1444</v>
          </cell>
          <cell r="Q59">
            <v>0.1447</v>
          </cell>
          <cell r="R59">
            <v>0.14560000000000001</v>
          </cell>
          <cell r="S59">
            <v>0.14580000000000001</v>
          </cell>
          <cell r="T59">
            <v>0.1462</v>
          </cell>
          <cell r="U59">
            <v>0.1462</v>
          </cell>
          <cell r="V59">
            <v>0.14649999999999999</v>
          </cell>
          <cell r="W59">
            <v>0.1467</v>
          </cell>
          <cell r="X59">
            <v>0.14710000000000001</v>
          </cell>
          <cell r="Y59">
            <v>0.14699999999999999</v>
          </cell>
          <cell r="Z59">
            <v>0.1469</v>
          </cell>
          <cell r="AA59">
            <v>0.1467</v>
          </cell>
          <cell r="AB59">
            <v>0.1464</v>
          </cell>
          <cell r="AC59">
            <v>0.1459</v>
          </cell>
        </row>
        <row r="60">
          <cell r="D60" t="str">
            <v>McPherson</v>
          </cell>
          <cell r="E60">
            <v>0.14899999999999999</v>
          </cell>
          <cell r="F60">
            <v>0.14879999999999999</v>
          </cell>
          <cell r="G60">
            <v>0.1502</v>
          </cell>
          <cell r="H60">
            <v>0.14660000000000001</v>
          </cell>
          <cell r="I60">
            <v>0.14030000000000001</v>
          </cell>
          <cell r="J60">
            <v>0.13869999999999999</v>
          </cell>
          <cell r="K60">
            <v>0.139349426375</v>
          </cell>
          <cell r="L60">
            <v>0.13954942850000002</v>
          </cell>
          <cell r="M60">
            <v>0.13976233062499999</v>
          </cell>
          <cell r="N60">
            <v>0.139753180625</v>
          </cell>
          <cell r="O60">
            <v>0.14069999999999999</v>
          </cell>
          <cell r="P60">
            <v>0.14069999999999999</v>
          </cell>
          <cell r="Q60">
            <v>0.14080000000000001</v>
          </cell>
          <cell r="R60">
            <v>0.1409</v>
          </cell>
          <cell r="S60">
            <v>0.1411</v>
          </cell>
          <cell r="T60">
            <v>0.1414</v>
          </cell>
          <cell r="U60">
            <v>0.1416</v>
          </cell>
          <cell r="V60">
            <v>0.14169999999999999</v>
          </cell>
          <cell r="W60">
            <v>0.14180000000000001</v>
          </cell>
          <cell r="X60">
            <v>0.1419</v>
          </cell>
          <cell r="Y60">
            <v>0.1419</v>
          </cell>
          <cell r="Z60">
            <v>0.14180000000000001</v>
          </cell>
          <cell r="AA60">
            <v>0.1419</v>
          </cell>
          <cell r="AB60">
            <v>0.1419</v>
          </cell>
          <cell r="AC60">
            <v>0.1421</v>
          </cell>
        </row>
        <row r="61">
          <cell r="D61" t="str">
            <v>Meade</v>
          </cell>
          <cell r="E61">
            <v>0.1454</v>
          </cell>
          <cell r="F61">
            <v>0.14630000000000001</v>
          </cell>
          <cell r="G61">
            <v>0.1482</v>
          </cell>
          <cell r="H61">
            <v>0.1454</v>
          </cell>
          <cell r="I61">
            <v>0.1396</v>
          </cell>
          <cell r="J61">
            <v>0.13769999999999999</v>
          </cell>
          <cell r="K61">
            <v>0.13852715937499999</v>
          </cell>
          <cell r="L61">
            <v>0.13877397312500001</v>
          </cell>
          <cell r="M61">
            <v>0.13898400950000001</v>
          </cell>
          <cell r="N61">
            <v>0.13929364699999999</v>
          </cell>
          <cell r="O61">
            <v>0.14169999999999999</v>
          </cell>
          <cell r="P61">
            <v>0.1424</v>
          </cell>
          <cell r="Q61">
            <v>0.14269999999999999</v>
          </cell>
          <cell r="R61">
            <v>0.14319999999999999</v>
          </cell>
          <cell r="S61">
            <v>0.14349999999999999</v>
          </cell>
          <cell r="T61">
            <v>0.14430000000000001</v>
          </cell>
          <cell r="U61">
            <v>0.14449999999999999</v>
          </cell>
          <cell r="V61">
            <v>0.1457</v>
          </cell>
          <cell r="W61">
            <v>0.14660000000000001</v>
          </cell>
          <cell r="X61">
            <v>0.1472</v>
          </cell>
          <cell r="Y61">
            <v>0.14779999999999999</v>
          </cell>
          <cell r="Z61">
            <v>0.1487</v>
          </cell>
          <cell r="AA61">
            <v>0.1497</v>
          </cell>
          <cell r="AB61">
            <v>0.15049999999999999</v>
          </cell>
          <cell r="AC61">
            <v>0.15160000000000001</v>
          </cell>
        </row>
        <row r="62">
          <cell r="D62" t="str">
            <v>Miami</v>
          </cell>
          <cell r="E62">
            <v>0.15049999999999999</v>
          </cell>
          <cell r="F62">
            <v>0.14979999999999999</v>
          </cell>
          <cell r="G62">
            <v>0.1512</v>
          </cell>
          <cell r="H62">
            <v>0.14799999999999999</v>
          </cell>
          <cell r="I62">
            <v>0.1416</v>
          </cell>
          <cell r="J62">
            <v>0.1396</v>
          </cell>
          <cell r="K62">
            <v>0.13968802250000001</v>
          </cell>
          <cell r="L62">
            <v>0.13974953525</v>
          </cell>
          <cell r="M62">
            <v>0.13968016287500001</v>
          </cell>
          <cell r="N62">
            <v>0.13956432537499999</v>
          </cell>
          <cell r="O62">
            <v>0.1404</v>
          </cell>
          <cell r="P62">
            <v>0.14080000000000001</v>
          </cell>
          <cell r="Q62">
            <v>0.14099999999999999</v>
          </cell>
          <cell r="R62">
            <v>0.14169999999999999</v>
          </cell>
          <cell r="S62">
            <v>0.14199999999999999</v>
          </cell>
          <cell r="T62">
            <v>0.14280000000000001</v>
          </cell>
          <cell r="U62">
            <v>0.14319999999999999</v>
          </cell>
          <cell r="V62">
            <v>0.14369999999999999</v>
          </cell>
          <cell r="W62">
            <v>0.14399999999999999</v>
          </cell>
          <cell r="X62">
            <v>0.14419999999999999</v>
          </cell>
          <cell r="Y62">
            <v>0.1444</v>
          </cell>
          <cell r="Z62">
            <v>0.14419999999999999</v>
          </cell>
          <cell r="AA62">
            <v>0.14399999999999999</v>
          </cell>
          <cell r="AB62">
            <v>0.14360000000000001</v>
          </cell>
          <cell r="AC62">
            <v>0.14249999999999999</v>
          </cell>
        </row>
        <row r="63">
          <cell r="D63" t="str">
            <v>Mitchell</v>
          </cell>
          <cell r="E63">
            <v>0.15260000000000001</v>
          </cell>
          <cell r="F63">
            <v>0.1527</v>
          </cell>
          <cell r="G63">
            <v>0.15409999999999999</v>
          </cell>
          <cell r="H63">
            <v>0.1507</v>
          </cell>
          <cell r="I63">
            <v>0.1444</v>
          </cell>
          <cell r="J63">
            <v>0.14249999999999999</v>
          </cell>
          <cell r="K63">
            <v>0.143045196875</v>
          </cell>
          <cell r="L63">
            <v>0.14323483887499999</v>
          </cell>
          <cell r="M63">
            <v>0.14363270487500002</v>
          </cell>
          <cell r="N63">
            <v>0.14432517987499999</v>
          </cell>
          <cell r="O63">
            <v>0.15129999999999999</v>
          </cell>
          <cell r="P63">
            <v>0.1525</v>
          </cell>
          <cell r="Q63">
            <v>0.153</v>
          </cell>
          <cell r="R63">
            <v>0.15490000000000001</v>
          </cell>
          <cell r="S63">
            <v>0.15540000000000001</v>
          </cell>
          <cell r="T63">
            <v>0.157</v>
          </cell>
          <cell r="U63">
            <v>0.1575</v>
          </cell>
          <cell r="V63">
            <v>0.158</v>
          </cell>
          <cell r="W63">
            <v>0.1583</v>
          </cell>
          <cell r="X63">
            <v>0.15840000000000001</v>
          </cell>
          <cell r="Y63">
            <v>0.1585</v>
          </cell>
          <cell r="Z63">
            <v>0.1585</v>
          </cell>
          <cell r="AA63">
            <v>0.15820000000000001</v>
          </cell>
          <cell r="AB63">
            <v>0.158</v>
          </cell>
          <cell r="AC63">
            <v>0.1575</v>
          </cell>
        </row>
        <row r="64">
          <cell r="D64" t="str">
            <v>Montgomery</v>
          </cell>
          <cell r="E64">
            <v>0.15540000000000001</v>
          </cell>
          <cell r="F64">
            <v>0.155</v>
          </cell>
          <cell r="G64">
            <v>0.15629999999999999</v>
          </cell>
          <cell r="H64">
            <v>0.15310000000000001</v>
          </cell>
          <cell r="I64">
            <v>0.1469</v>
          </cell>
          <cell r="J64">
            <v>0.1452</v>
          </cell>
          <cell r="K64">
            <v>0.14584860199999999</v>
          </cell>
          <cell r="L64">
            <v>0.14612444525000001</v>
          </cell>
          <cell r="M64">
            <v>0.14642158475</v>
          </cell>
          <cell r="N64">
            <v>0.14675218475000001</v>
          </cell>
          <cell r="O64">
            <v>0.14929999999999999</v>
          </cell>
          <cell r="P64">
            <v>0.14940000000000001</v>
          </cell>
          <cell r="Q64">
            <v>0.14940000000000001</v>
          </cell>
          <cell r="R64">
            <v>0.14949999999999999</v>
          </cell>
          <cell r="S64">
            <v>0.14960000000000001</v>
          </cell>
          <cell r="T64">
            <v>0.1502</v>
          </cell>
          <cell r="U64">
            <v>0.15</v>
          </cell>
          <cell r="V64">
            <v>0.15060000000000001</v>
          </cell>
          <cell r="W64">
            <v>0.15090000000000001</v>
          </cell>
          <cell r="X64">
            <v>0.15140000000000001</v>
          </cell>
          <cell r="Y64">
            <v>0.1522</v>
          </cell>
          <cell r="Z64">
            <v>0.153</v>
          </cell>
          <cell r="AA64">
            <v>0.15359999999999999</v>
          </cell>
          <cell r="AB64">
            <v>0.15409999999999999</v>
          </cell>
          <cell r="AC64">
            <v>0.1545</v>
          </cell>
        </row>
        <row r="65">
          <cell r="D65" t="str">
            <v>Morris</v>
          </cell>
          <cell r="E65">
            <v>0.1489</v>
          </cell>
          <cell r="F65">
            <v>0.1487</v>
          </cell>
          <cell r="G65">
            <v>0.15</v>
          </cell>
          <cell r="H65">
            <v>0.14630000000000001</v>
          </cell>
          <cell r="I65">
            <v>0.1399</v>
          </cell>
          <cell r="J65">
            <v>0.13769999999999999</v>
          </cell>
          <cell r="K65">
            <v>0.137777705</v>
          </cell>
          <cell r="L65">
            <v>0.13765837175000001</v>
          </cell>
          <cell r="M65">
            <v>0.13753112112499999</v>
          </cell>
          <cell r="N65">
            <v>0.13766563362500001</v>
          </cell>
          <cell r="O65">
            <v>0.14069999999999999</v>
          </cell>
          <cell r="P65">
            <v>0.14169999999999999</v>
          </cell>
          <cell r="Q65">
            <v>0.1424</v>
          </cell>
          <cell r="R65">
            <v>0.14410000000000001</v>
          </cell>
          <cell r="S65">
            <v>0.14480000000000001</v>
          </cell>
          <cell r="T65">
            <v>0.1467</v>
          </cell>
          <cell r="U65">
            <v>0.1482</v>
          </cell>
          <cell r="V65">
            <v>0.14929999999999999</v>
          </cell>
          <cell r="W65">
            <v>0.15040000000000001</v>
          </cell>
          <cell r="X65">
            <v>0.1512</v>
          </cell>
          <cell r="Y65">
            <v>0.15190000000000001</v>
          </cell>
          <cell r="Z65">
            <v>0.1525</v>
          </cell>
          <cell r="AA65">
            <v>0.15290000000000001</v>
          </cell>
          <cell r="AB65">
            <v>0.15329999999999999</v>
          </cell>
          <cell r="AC65">
            <v>0.1537</v>
          </cell>
        </row>
        <row r="66">
          <cell r="D66" t="str">
            <v>Morton</v>
          </cell>
          <cell r="E66">
            <v>0.1399</v>
          </cell>
          <cell r="F66">
            <v>0.1406</v>
          </cell>
          <cell r="G66">
            <v>0.1426</v>
          </cell>
          <cell r="H66">
            <v>0.1399</v>
          </cell>
          <cell r="I66">
            <v>0.13500000000000001</v>
          </cell>
          <cell r="J66">
            <v>0.13339999999999999</v>
          </cell>
          <cell r="K66">
            <v>0.13384865674999999</v>
          </cell>
          <cell r="L66">
            <v>0.13411774062500001</v>
          </cell>
          <cell r="M66">
            <v>0.13440152825000001</v>
          </cell>
          <cell r="N66">
            <v>0.13440254074999999</v>
          </cell>
          <cell r="O66">
            <v>0.13569999999999999</v>
          </cell>
          <cell r="P66">
            <v>0.13650000000000001</v>
          </cell>
          <cell r="Q66">
            <v>0.13669999999999999</v>
          </cell>
          <cell r="R66">
            <v>0.1371</v>
          </cell>
          <cell r="S66">
            <v>0.1376</v>
          </cell>
          <cell r="T66">
            <v>0.13850000000000001</v>
          </cell>
          <cell r="U66">
            <v>0.14119999999999999</v>
          </cell>
          <cell r="V66">
            <v>0.14410000000000001</v>
          </cell>
          <cell r="W66">
            <v>0.14680000000000001</v>
          </cell>
          <cell r="X66">
            <v>0.1484</v>
          </cell>
          <cell r="Y66">
            <v>0.15049999999999999</v>
          </cell>
          <cell r="Z66">
            <v>0.15260000000000001</v>
          </cell>
          <cell r="AA66">
            <v>0.1545</v>
          </cell>
          <cell r="AB66">
            <v>0.15640000000000001</v>
          </cell>
          <cell r="AC66">
            <v>0.1555</v>
          </cell>
        </row>
        <row r="67">
          <cell r="D67" t="str">
            <v>Nemaha</v>
          </cell>
          <cell r="E67">
            <v>0.14779999999999999</v>
          </cell>
          <cell r="F67">
            <v>0.1479</v>
          </cell>
          <cell r="G67">
            <v>0.15</v>
          </cell>
          <cell r="H67">
            <v>0.1469</v>
          </cell>
          <cell r="I67">
            <v>0.14119999999999999</v>
          </cell>
          <cell r="J67">
            <v>0.1394</v>
          </cell>
          <cell r="K67">
            <v>0.140028270875</v>
          </cell>
          <cell r="L67">
            <v>0.140274713</v>
          </cell>
          <cell r="M67">
            <v>0.14063794437499999</v>
          </cell>
          <cell r="N67">
            <v>0.14080421937499998</v>
          </cell>
          <cell r="O67">
            <v>0.14369999999999999</v>
          </cell>
          <cell r="P67">
            <v>0.14380000000000001</v>
          </cell>
          <cell r="Q67">
            <v>0.14380000000000001</v>
          </cell>
          <cell r="R67">
            <v>0.14399999999999999</v>
          </cell>
          <cell r="S67">
            <v>0.14399999999999999</v>
          </cell>
          <cell r="T67">
            <v>0.14419999999999999</v>
          </cell>
          <cell r="U67">
            <v>0.14410000000000001</v>
          </cell>
          <cell r="V67">
            <v>0.14410000000000001</v>
          </cell>
          <cell r="W67">
            <v>0.14369999999999999</v>
          </cell>
          <cell r="X67">
            <v>0.14349999999999999</v>
          </cell>
          <cell r="Y67">
            <v>0.14319999999999999</v>
          </cell>
          <cell r="Z67">
            <v>0.14280000000000001</v>
          </cell>
          <cell r="AA67">
            <v>0.1424</v>
          </cell>
          <cell r="AB67">
            <v>0.14169999999999999</v>
          </cell>
          <cell r="AC67">
            <v>0.14119999999999999</v>
          </cell>
        </row>
        <row r="68">
          <cell r="D68" t="str">
            <v>Neosho</v>
          </cell>
          <cell r="E68">
            <v>0.15509999999999999</v>
          </cell>
          <cell r="F68">
            <v>0.15479999999999999</v>
          </cell>
          <cell r="G68">
            <v>0.156</v>
          </cell>
          <cell r="H68">
            <v>0.15260000000000001</v>
          </cell>
          <cell r="I68">
            <v>0.1464</v>
          </cell>
          <cell r="J68">
            <v>0.1452</v>
          </cell>
          <cell r="K68">
            <v>0.14630572324999999</v>
          </cell>
          <cell r="L68">
            <v>0.14707982862499999</v>
          </cell>
          <cell r="M68">
            <v>0.14745030125</v>
          </cell>
          <cell r="N68">
            <v>0.14759100124999999</v>
          </cell>
          <cell r="O68">
            <v>0.15049999999999999</v>
          </cell>
          <cell r="P68">
            <v>0.1515</v>
          </cell>
          <cell r="Q68">
            <v>0.15229999999999999</v>
          </cell>
          <cell r="R68">
            <v>0.154</v>
          </cell>
          <cell r="S68">
            <v>0.15459999999999999</v>
          </cell>
          <cell r="T68">
            <v>0.1565</v>
          </cell>
          <cell r="U68">
            <v>0.157</v>
          </cell>
          <cell r="V68">
            <v>0.1578</v>
          </cell>
          <cell r="W68">
            <v>0.1585</v>
          </cell>
          <cell r="X68">
            <v>0.1583</v>
          </cell>
          <cell r="Y68">
            <v>0.1583</v>
          </cell>
          <cell r="Z68">
            <v>0.1583</v>
          </cell>
          <cell r="AA68">
            <v>0.15820000000000001</v>
          </cell>
          <cell r="AB68">
            <v>0.15809999999999999</v>
          </cell>
          <cell r="AC68">
            <v>0.15840000000000001</v>
          </cell>
        </row>
        <row r="69">
          <cell r="D69" t="str">
            <v>Ness</v>
          </cell>
          <cell r="E69">
            <v>0.15079999999999999</v>
          </cell>
          <cell r="F69">
            <v>0.15129999999999999</v>
          </cell>
          <cell r="G69">
            <v>0.15310000000000001</v>
          </cell>
          <cell r="H69">
            <v>0.15060000000000001</v>
          </cell>
          <cell r="I69">
            <v>0.1459</v>
          </cell>
          <cell r="J69">
            <v>0.14460000000000001</v>
          </cell>
          <cell r="K69">
            <v>0.14539601675</v>
          </cell>
          <cell r="L69">
            <v>0.145624910375</v>
          </cell>
          <cell r="M69">
            <v>0.14583697475000001</v>
          </cell>
          <cell r="N69">
            <v>0.14584139974999999</v>
          </cell>
          <cell r="O69">
            <v>0.1464</v>
          </cell>
          <cell r="P69">
            <v>0.1464</v>
          </cell>
          <cell r="Q69">
            <v>0.14660000000000001</v>
          </cell>
          <cell r="R69">
            <v>0.14649999999999999</v>
          </cell>
          <cell r="S69">
            <v>0.1464</v>
          </cell>
          <cell r="T69">
            <v>0.1467</v>
          </cell>
          <cell r="U69">
            <v>0.1472</v>
          </cell>
          <cell r="V69">
            <v>0.14849999999999999</v>
          </cell>
          <cell r="W69">
            <v>0.1489</v>
          </cell>
          <cell r="X69">
            <v>0.14960000000000001</v>
          </cell>
          <cell r="Y69">
            <v>0.15040000000000001</v>
          </cell>
          <cell r="Z69">
            <v>0.15160000000000001</v>
          </cell>
          <cell r="AA69">
            <v>0.15279999999999999</v>
          </cell>
          <cell r="AB69">
            <v>0.15379999999999999</v>
          </cell>
          <cell r="AC69">
            <v>0.15390000000000001</v>
          </cell>
        </row>
        <row r="70">
          <cell r="D70" t="str">
            <v>Norton</v>
          </cell>
          <cell r="E70">
            <v>0.15229999999999999</v>
          </cell>
          <cell r="F70">
            <v>0.15279999999999999</v>
          </cell>
          <cell r="G70">
            <v>0.15459999999999999</v>
          </cell>
          <cell r="H70">
            <v>0.15229999999999999</v>
          </cell>
          <cell r="I70">
            <v>0.1467</v>
          </cell>
          <cell r="J70">
            <v>0.14560000000000001</v>
          </cell>
          <cell r="K70">
            <v>0.14667548412500001</v>
          </cell>
          <cell r="L70">
            <v>0.146721009875</v>
          </cell>
          <cell r="M70">
            <v>0.14632049562499999</v>
          </cell>
          <cell r="N70">
            <v>0.14561958312500001</v>
          </cell>
          <cell r="O70">
            <v>0.14499999999999999</v>
          </cell>
          <cell r="P70">
            <v>0.1457</v>
          </cell>
          <cell r="Q70">
            <v>0.14630000000000001</v>
          </cell>
          <cell r="R70">
            <v>0.14779999999999999</v>
          </cell>
          <cell r="S70">
            <v>0.14879999999999999</v>
          </cell>
          <cell r="T70">
            <v>0.15060000000000001</v>
          </cell>
          <cell r="U70">
            <v>0.152</v>
          </cell>
          <cell r="V70">
            <v>0.15329999999999999</v>
          </cell>
          <cell r="W70">
            <v>0.15379999999999999</v>
          </cell>
          <cell r="X70">
            <v>0.15390000000000001</v>
          </cell>
          <cell r="Y70">
            <v>0.15359999999999999</v>
          </cell>
          <cell r="Z70">
            <v>0.15310000000000001</v>
          </cell>
          <cell r="AA70">
            <v>0.1522</v>
          </cell>
          <cell r="AB70">
            <v>0.15179999999999999</v>
          </cell>
          <cell r="AC70">
            <v>0.1502</v>
          </cell>
        </row>
        <row r="71">
          <cell r="D71" t="str">
            <v>Osage</v>
          </cell>
          <cell r="E71">
            <v>0.1484</v>
          </cell>
          <cell r="F71">
            <v>0.14799999999999999</v>
          </cell>
          <cell r="G71">
            <v>0.1492</v>
          </cell>
          <cell r="H71">
            <v>0.14549999999999999</v>
          </cell>
          <cell r="I71">
            <v>0.1394</v>
          </cell>
          <cell r="J71">
            <v>0.1376</v>
          </cell>
          <cell r="K71">
            <v>0.13796415425</v>
          </cell>
          <cell r="L71">
            <v>0.137953520375</v>
          </cell>
          <cell r="M71">
            <v>0.13796397575</v>
          </cell>
          <cell r="N71">
            <v>0.13836267575</v>
          </cell>
          <cell r="O71">
            <v>0.1429</v>
          </cell>
          <cell r="P71">
            <v>0.14380000000000001</v>
          </cell>
          <cell r="Q71">
            <v>0.14449999999999999</v>
          </cell>
          <cell r="R71">
            <v>0.1462</v>
          </cell>
          <cell r="S71">
            <v>0.1469</v>
          </cell>
          <cell r="T71">
            <v>0.1484</v>
          </cell>
          <cell r="U71">
            <v>0.14940000000000001</v>
          </cell>
          <cell r="V71">
            <v>0.15029999999999999</v>
          </cell>
          <cell r="W71">
            <v>0.15110000000000001</v>
          </cell>
          <cell r="X71">
            <v>0.15179999999999999</v>
          </cell>
          <cell r="Y71">
            <v>0.1522</v>
          </cell>
          <cell r="Z71">
            <v>0.15229999999999999</v>
          </cell>
          <cell r="AA71">
            <v>0.1522</v>
          </cell>
          <cell r="AB71">
            <v>0.152</v>
          </cell>
          <cell r="AC71">
            <v>0.1517</v>
          </cell>
        </row>
        <row r="72">
          <cell r="D72" t="str">
            <v>Osborne</v>
          </cell>
          <cell r="E72">
            <v>0.1515</v>
          </cell>
          <cell r="F72">
            <v>0.15240000000000001</v>
          </cell>
          <cell r="G72">
            <v>0.1542</v>
          </cell>
          <cell r="H72">
            <v>0.15110000000000001</v>
          </cell>
          <cell r="I72">
            <v>0.14530000000000001</v>
          </cell>
          <cell r="J72">
            <v>0.14380000000000001</v>
          </cell>
          <cell r="K72">
            <v>0.14460899637499999</v>
          </cell>
          <cell r="L72">
            <v>0.14525059325</v>
          </cell>
          <cell r="M72">
            <v>0.145660279625</v>
          </cell>
          <cell r="N72">
            <v>0.146312967125</v>
          </cell>
          <cell r="O72">
            <v>0.1527</v>
          </cell>
          <cell r="P72">
            <v>0.15340000000000001</v>
          </cell>
          <cell r="Q72">
            <v>0.15359999999999999</v>
          </cell>
          <cell r="R72">
            <v>0.1542</v>
          </cell>
          <cell r="S72">
            <v>0.15440000000000001</v>
          </cell>
          <cell r="T72">
            <v>0.155</v>
          </cell>
          <cell r="U72">
            <v>0.15509999999999999</v>
          </cell>
          <cell r="V72">
            <v>0.1555</v>
          </cell>
          <cell r="W72">
            <v>0.15529999999999999</v>
          </cell>
          <cell r="X72">
            <v>0.15540000000000001</v>
          </cell>
          <cell r="Y72">
            <v>0.15540000000000001</v>
          </cell>
          <cell r="Z72">
            <v>0.1555</v>
          </cell>
          <cell r="AA72">
            <v>0.1555</v>
          </cell>
          <cell r="AB72">
            <v>0.15529999999999999</v>
          </cell>
          <cell r="AC72">
            <v>0.15490000000000001</v>
          </cell>
        </row>
        <row r="73">
          <cell r="D73" t="str">
            <v>Ottawa</v>
          </cell>
          <cell r="E73">
            <v>0.153</v>
          </cell>
          <cell r="F73">
            <v>0.1535</v>
          </cell>
          <cell r="G73">
            <v>0.155</v>
          </cell>
          <cell r="H73">
            <v>0.15140000000000001</v>
          </cell>
          <cell r="I73">
            <v>0.1454</v>
          </cell>
          <cell r="J73">
            <v>0.14369999999999999</v>
          </cell>
          <cell r="K73">
            <v>0.14449533275000001</v>
          </cell>
          <cell r="L73">
            <v>0.14468453824999999</v>
          </cell>
          <cell r="M73">
            <v>0.14462973312499999</v>
          </cell>
          <cell r="N73">
            <v>0.14504534562499999</v>
          </cell>
          <cell r="O73">
            <v>0.14899999999999999</v>
          </cell>
          <cell r="P73">
            <v>0.14990000000000001</v>
          </cell>
          <cell r="Q73">
            <v>0.15049999999999999</v>
          </cell>
          <cell r="R73">
            <v>0.15210000000000001</v>
          </cell>
          <cell r="S73">
            <v>0.1527</v>
          </cell>
          <cell r="T73">
            <v>0.15479999999999999</v>
          </cell>
          <cell r="U73">
            <v>0.1555</v>
          </cell>
          <cell r="V73">
            <v>0.15640000000000001</v>
          </cell>
          <cell r="W73">
            <v>0.15709999999999999</v>
          </cell>
          <cell r="X73">
            <v>0.15740000000000001</v>
          </cell>
          <cell r="Y73">
            <v>0.15759999999999999</v>
          </cell>
          <cell r="Z73">
            <v>0.1575</v>
          </cell>
          <cell r="AA73">
            <v>0.15720000000000001</v>
          </cell>
          <cell r="AB73">
            <v>0.15659999999999999</v>
          </cell>
          <cell r="AC73">
            <v>0.1555</v>
          </cell>
        </row>
        <row r="74">
          <cell r="D74" t="str">
            <v>Pawnee</v>
          </cell>
          <cell r="E74">
            <v>0.14990000000000001</v>
          </cell>
          <cell r="F74">
            <v>0.15060000000000001</v>
          </cell>
          <cell r="G74">
            <v>0.15329999999999999</v>
          </cell>
          <cell r="H74">
            <v>0.15129999999999999</v>
          </cell>
          <cell r="I74">
            <v>0.1464</v>
          </cell>
          <cell r="J74">
            <v>0.14580000000000001</v>
          </cell>
          <cell r="K74">
            <v>0.14732482475</v>
          </cell>
          <cell r="L74">
            <v>0.147969789125</v>
          </cell>
          <cell r="M74">
            <v>0.14860269537499998</v>
          </cell>
          <cell r="N74">
            <v>0.14891882037499998</v>
          </cell>
          <cell r="O74">
            <v>0.1522</v>
          </cell>
          <cell r="P74">
            <v>0.15329999999999999</v>
          </cell>
          <cell r="Q74">
            <v>0.15379999999999999</v>
          </cell>
          <cell r="R74">
            <v>0.1552</v>
          </cell>
          <cell r="S74">
            <v>0.15540000000000001</v>
          </cell>
          <cell r="T74">
            <v>0.15640000000000001</v>
          </cell>
          <cell r="U74">
            <v>0.15679999999999999</v>
          </cell>
          <cell r="V74">
            <v>0.157</v>
          </cell>
          <cell r="W74">
            <v>0.15690000000000001</v>
          </cell>
          <cell r="X74">
            <v>0.15659999999999999</v>
          </cell>
          <cell r="Y74">
            <v>0.1565</v>
          </cell>
          <cell r="Z74">
            <v>0.15659999999999999</v>
          </cell>
          <cell r="AA74">
            <v>0.15690000000000001</v>
          </cell>
          <cell r="AB74">
            <v>0.15740000000000001</v>
          </cell>
          <cell r="AC74">
            <v>0.15770000000000001</v>
          </cell>
        </row>
        <row r="75">
          <cell r="D75" t="str">
            <v>Phillips</v>
          </cell>
          <cell r="E75">
            <v>0.15210000000000001</v>
          </cell>
          <cell r="F75">
            <v>0.1522</v>
          </cell>
          <cell r="G75">
            <v>0.15359999999999999</v>
          </cell>
          <cell r="H75">
            <v>0.15060000000000001</v>
          </cell>
          <cell r="I75">
            <v>0.14460000000000001</v>
          </cell>
          <cell r="J75">
            <v>0.1429</v>
          </cell>
          <cell r="K75">
            <v>0.14368833612499998</v>
          </cell>
          <cell r="L75">
            <v>0.1440583805</v>
          </cell>
          <cell r="M75">
            <v>0.14457887224999999</v>
          </cell>
          <cell r="N75">
            <v>0.14507192224999998</v>
          </cell>
          <cell r="O75">
            <v>0.1497</v>
          </cell>
          <cell r="P75">
            <v>0.15090000000000001</v>
          </cell>
          <cell r="Q75">
            <v>0.15210000000000001</v>
          </cell>
          <cell r="R75">
            <v>0.15429999999999999</v>
          </cell>
          <cell r="S75">
            <v>0.15479999999999999</v>
          </cell>
          <cell r="T75">
            <v>0.15620000000000001</v>
          </cell>
          <cell r="U75">
            <v>0.15670000000000001</v>
          </cell>
          <cell r="V75">
            <v>0.15740000000000001</v>
          </cell>
          <cell r="W75">
            <v>0.1575</v>
          </cell>
          <cell r="X75">
            <v>0.15720000000000001</v>
          </cell>
          <cell r="Y75">
            <v>0.15620000000000001</v>
          </cell>
          <cell r="Z75">
            <v>0.1552</v>
          </cell>
          <cell r="AA75">
            <v>0.155</v>
          </cell>
          <cell r="AB75">
            <v>0.15559999999999999</v>
          </cell>
          <cell r="AC75">
            <v>0.156</v>
          </cell>
        </row>
        <row r="76">
          <cell r="D76" t="str">
            <v>Pottawatomie</v>
          </cell>
          <cell r="E76">
            <v>0.1396</v>
          </cell>
          <cell r="F76">
            <v>0.1406</v>
          </cell>
          <cell r="G76">
            <v>0.14280000000000001</v>
          </cell>
          <cell r="H76">
            <v>0.1401</v>
          </cell>
          <cell r="I76">
            <v>0.1346</v>
          </cell>
          <cell r="J76">
            <v>0.13250000000000001</v>
          </cell>
          <cell r="K76">
            <v>0.13266811212499999</v>
          </cell>
          <cell r="L76">
            <v>0.13239701225</v>
          </cell>
          <cell r="M76">
            <v>0.13196760725000001</v>
          </cell>
          <cell r="N76">
            <v>0.13159598224999999</v>
          </cell>
          <cell r="O76">
            <v>0.13300000000000001</v>
          </cell>
          <cell r="P76">
            <v>0.13350000000000001</v>
          </cell>
          <cell r="Q76">
            <v>0.13370000000000001</v>
          </cell>
          <cell r="R76">
            <v>0.1343</v>
          </cell>
          <cell r="S76">
            <v>0.13439999999999999</v>
          </cell>
          <cell r="T76">
            <v>0.13500000000000001</v>
          </cell>
          <cell r="U76">
            <v>0.13519999999999999</v>
          </cell>
          <cell r="V76">
            <v>0.13539999999999999</v>
          </cell>
          <cell r="W76">
            <v>0.1356</v>
          </cell>
          <cell r="X76">
            <v>0.1358</v>
          </cell>
          <cell r="Y76">
            <v>0.13600000000000001</v>
          </cell>
          <cell r="Z76">
            <v>0.1361</v>
          </cell>
          <cell r="AA76">
            <v>0.1363</v>
          </cell>
          <cell r="AB76">
            <v>0.1366</v>
          </cell>
          <cell r="AC76">
            <v>0.13689999999999999</v>
          </cell>
        </row>
        <row r="77">
          <cell r="D77" t="str">
            <v>Pratt</v>
          </cell>
          <cell r="E77">
            <v>0.15359999999999999</v>
          </cell>
          <cell r="F77">
            <v>0.15390000000000001</v>
          </cell>
          <cell r="G77">
            <v>0.15559999999999999</v>
          </cell>
          <cell r="H77">
            <v>0.1527</v>
          </cell>
          <cell r="I77">
            <v>0.1472</v>
          </cell>
          <cell r="J77">
            <v>0.14580000000000001</v>
          </cell>
          <cell r="K77">
            <v>0.14674873324999999</v>
          </cell>
          <cell r="L77">
            <v>0.14728142599999999</v>
          </cell>
          <cell r="M77">
            <v>0.14790189200000001</v>
          </cell>
          <cell r="N77">
            <v>0.14837495449999999</v>
          </cell>
          <cell r="O77">
            <v>0.153</v>
          </cell>
          <cell r="P77">
            <v>0.15359999999999999</v>
          </cell>
          <cell r="Q77">
            <v>0.15379999999999999</v>
          </cell>
          <cell r="R77">
            <v>0.15459999999999999</v>
          </cell>
          <cell r="S77">
            <v>0.1545</v>
          </cell>
          <cell r="T77">
            <v>0.15459999999999999</v>
          </cell>
          <cell r="U77">
            <v>0.1542</v>
          </cell>
          <cell r="V77">
            <v>0.1537</v>
          </cell>
          <cell r="W77">
            <v>0.1535</v>
          </cell>
          <cell r="X77">
            <v>0.1532</v>
          </cell>
          <cell r="Y77">
            <v>0.15279999999999999</v>
          </cell>
          <cell r="Z77">
            <v>0.15240000000000001</v>
          </cell>
          <cell r="AA77">
            <v>0.152</v>
          </cell>
          <cell r="AB77">
            <v>0.1522</v>
          </cell>
          <cell r="AC77">
            <v>0.1527</v>
          </cell>
        </row>
        <row r="78">
          <cell r="D78" t="str">
            <v>Rawlins</v>
          </cell>
          <cell r="E78">
            <v>0.155</v>
          </cell>
          <cell r="F78">
            <v>0.1547</v>
          </cell>
          <cell r="G78">
            <v>0.15609999999999999</v>
          </cell>
          <cell r="H78">
            <v>0.15240000000000001</v>
          </cell>
          <cell r="I78">
            <v>0.14599999999999999</v>
          </cell>
          <cell r="J78">
            <v>0.1447</v>
          </cell>
          <cell r="K78">
            <v>0.1453134005</v>
          </cell>
          <cell r="L78">
            <v>0.145754837375</v>
          </cell>
          <cell r="M78">
            <v>0.14642847275000001</v>
          </cell>
          <cell r="N78">
            <v>0.14662399775000001</v>
          </cell>
          <cell r="O78">
            <v>0.1487</v>
          </cell>
          <cell r="P78">
            <v>0.14910000000000001</v>
          </cell>
          <cell r="Q78">
            <v>0.14979999999999999</v>
          </cell>
          <cell r="R78">
            <v>0.15049999999999999</v>
          </cell>
          <cell r="S78">
            <v>0.15110000000000001</v>
          </cell>
          <cell r="T78">
            <v>0.15060000000000001</v>
          </cell>
          <cell r="U78">
            <v>0.15029999999999999</v>
          </cell>
          <cell r="V78">
            <v>0.15060000000000001</v>
          </cell>
          <cell r="W78">
            <v>0.15040000000000001</v>
          </cell>
          <cell r="X78">
            <v>0.14979999999999999</v>
          </cell>
          <cell r="Y78">
            <v>0.1484</v>
          </cell>
          <cell r="Z78">
            <v>0.1472</v>
          </cell>
          <cell r="AA78">
            <v>0.14580000000000001</v>
          </cell>
          <cell r="AB78">
            <v>0.14630000000000001</v>
          </cell>
          <cell r="AC78">
            <v>0.14599999999999999</v>
          </cell>
        </row>
        <row r="79">
          <cell r="D79" t="str">
            <v>Reno</v>
          </cell>
          <cell r="E79">
            <v>0.15279999999999999</v>
          </cell>
          <cell r="F79">
            <v>0.1525</v>
          </cell>
          <cell r="G79">
            <v>0.1542</v>
          </cell>
          <cell r="H79">
            <v>0.15110000000000001</v>
          </cell>
          <cell r="I79">
            <v>0.1452</v>
          </cell>
          <cell r="J79">
            <v>0.14369999999999999</v>
          </cell>
          <cell r="K79">
            <v>0.144151119125</v>
          </cell>
          <cell r="L79">
            <v>0.144495977375</v>
          </cell>
          <cell r="M79">
            <v>0.14482779837500001</v>
          </cell>
          <cell r="N79">
            <v>0.14515851087500001</v>
          </cell>
          <cell r="O79">
            <v>0.14899999999999999</v>
          </cell>
          <cell r="P79">
            <v>0.14979999999999999</v>
          </cell>
          <cell r="Q79">
            <v>0.15</v>
          </cell>
          <cell r="R79">
            <v>0.15090000000000001</v>
          </cell>
          <cell r="S79">
            <v>0.15110000000000001</v>
          </cell>
          <cell r="T79">
            <v>0.15179999999999999</v>
          </cell>
          <cell r="U79">
            <v>0.15229999999999999</v>
          </cell>
          <cell r="V79">
            <v>0.15260000000000001</v>
          </cell>
          <cell r="W79">
            <v>0.153</v>
          </cell>
          <cell r="X79">
            <v>0.15329999999999999</v>
          </cell>
          <cell r="Y79">
            <v>0.15359999999999999</v>
          </cell>
          <cell r="Z79">
            <v>0.15379999999999999</v>
          </cell>
          <cell r="AA79">
            <v>0.15390000000000001</v>
          </cell>
          <cell r="AB79">
            <v>0.15390000000000001</v>
          </cell>
          <cell r="AC79">
            <v>0.15379999999999999</v>
          </cell>
        </row>
        <row r="80">
          <cell r="D80" t="str">
            <v>Republic</v>
          </cell>
          <cell r="E80">
            <v>0.152</v>
          </cell>
          <cell r="F80">
            <v>0.1522</v>
          </cell>
          <cell r="G80">
            <v>0.154</v>
          </cell>
          <cell r="H80">
            <v>0.1507</v>
          </cell>
          <cell r="I80">
            <v>0.14510000000000001</v>
          </cell>
          <cell r="J80">
            <v>0.14380000000000001</v>
          </cell>
          <cell r="K80">
            <v>0.14474160650000001</v>
          </cell>
          <cell r="L80">
            <v>0.145413592625</v>
          </cell>
          <cell r="M80">
            <v>0.14589894575000001</v>
          </cell>
          <cell r="N80">
            <v>0.14641989575</v>
          </cell>
          <cell r="O80">
            <v>0.1512</v>
          </cell>
          <cell r="P80">
            <v>0.15240000000000001</v>
          </cell>
          <cell r="Q80">
            <v>0.15310000000000001</v>
          </cell>
          <cell r="R80">
            <v>0.1547</v>
          </cell>
          <cell r="S80">
            <v>0.1552</v>
          </cell>
          <cell r="T80">
            <v>0.15709999999999999</v>
          </cell>
          <cell r="U80">
            <v>0.15820000000000001</v>
          </cell>
          <cell r="V80">
            <v>0.15870000000000001</v>
          </cell>
          <cell r="W80">
            <v>0.15870000000000001</v>
          </cell>
          <cell r="X80">
            <v>0.15820000000000001</v>
          </cell>
          <cell r="Y80">
            <v>0.1575</v>
          </cell>
          <cell r="Z80">
            <v>0.15670000000000001</v>
          </cell>
          <cell r="AA80">
            <v>0.15579999999999999</v>
          </cell>
          <cell r="AB80">
            <v>0.15509999999999999</v>
          </cell>
          <cell r="AC80">
            <v>0.15390000000000001</v>
          </cell>
        </row>
        <row r="81">
          <cell r="D81" t="str">
            <v>Rice</v>
          </cell>
          <cell r="E81">
            <v>0.15140000000000001</v>
          </cell>
          <cell r="F81">
            <v>0.15190000000000001</v>
          </cell>
          <cell r="G81">
            <v>0.1537</v>
          </cell>
          <cell r="H81">
            <v>0.15090000000000001</v>
          </cell>
          <cell r="I81">
            <v>0.14530000000000001</v>
          </cell>
          <cell r="J81">
            <v>0.14449999999999999</v>
          </cell>
          <cell r="K81">
            <v>0.14567972112499999</v>
          </cell>
          <cell r="L81">
            <v>0.14663866475000001</v>
          </cell>
          <cell r="M81">
            <v>0.14728435925</v>
          </cell>
          <cell r="N81">
            <v>0.14766479674999999</v>
          </cell>
          <cell r="O81">
            <v>0.14810000000000001</v>
          </cell>
          <cell r="P81">
            <v>0.14760000000000001</v>
          </cell>
          <cell r="Q81">
            <v>0.1477</v>
          </cell>
          <cell r="R81">
            <v>0.1474</v>
          </cell>
          <cell r="S81">
            <v>0.14760000000000001</v>
          </cell>
          <cell r="T81">
            <v>0.14749999999999999</v>
          </cell>
          <cell r="U81">
            <v>0.1484</v>
          </cell>
          <cell r="V81">
            <v>0.14929999999999999</v>
          </cell>
          <cell r="W81">
            <v>0.14979999999999999</v>
          </cell>
          <cell r="X81">
            <v>0.14979999999999999</v>
          </cell>
          <cell r="Y81">
            <v>0.1497</v>
          </cell>
          <cell r="Z81">
            <v>0.14979999999999999</v>
          </cell>
          <cell r="AA81">
            <v>0.1497</v>
          </cell>
          <cell r="AB81">
            <v>0.14940000000000001</v>
          </cell>
          <cell r="AC81">
            <v>0.14810000000000001</v>
          </cell>
        </row>
        <row r="82">
          <cell r="D82" t="str">
            <v>Riley</v>
          </cell>
          <cell r="E82">
            <v>0.1487</v>
          </cell>
          <cell r="F82">
            <v>0.14799999999999999</v>
          </cell>
          <cell r="G82">
            <v>0.1492</v>
          </cell>
          <cell r="H82">
            <v>0.1457</v>
          </cell>
          <cell r="I82">
            <v>0.1394</v>
          </cell>
          <cell r="J82">
            <v>0.13789999999999999</v>
          </cell>
          <cell r="K82">
            <v>0.138265071125</v>
          </cell>
          <cell r="L82">
            <v>0.13810078287499999</v>
          </cell>
          <cell r="M82">
            <v>0.13775333525</v>
          </cell>
          <cell r="N82">
            <v>0.13752882275</v>
          </cell>
          <cell r="O82">
            <v>0.13750000000000001</v>
          </cell>
          <cell r="P82">
            <v>0.1376</v>
          </cell>
          <cell r="Q82">
            <v>0.13789999999999999</v>
          </cell>
          <cell r="R82">
            <v>0.13830000000000001</v>
          </cell>
          <cell r="S82">
            <v>0.13869999999999999</v>
          </cell>
          <cell r="T82">
            <v>0.13930000000000001</v>
          </cell>
          <cell r="U82">
            <v>0.14000000000000001</v>
          </cell>
          <cell r="V82">
            <v>0.1406</v>
          </cell>
          <cell r="W82">
            <v>0.1411</v>
          </cell>
          <cell r="X82">
            <v>0.1416</v>
          </cell>
          <cell r="Y82">
            <v>0.1421</v>
          </cell>
          <cell r="Z82">
            <v>0.14280000000000001</v>
          </cell>
          <cell r="AA82">
            <v>0.14349999999999999</v>
          </cell>
          <cell r="AB82">
            <v>0.14410000000000001</v>
          </cell>
          <cell r="AC82">
            <v>0.1447</v>
          </cell>
        </row>
        <row r="83">
          <cell r="D83" t="str">
            <v>Rooks</v>
          </cell>
          <cell r="E83">
            <v>0.15110000000000001</v>
          </cell>
          <cell r="F83">
            <v>0.15179999999999999</v>
          </cell>
          <cell r="G83">
            <v>0.154</v>
          </cell>
          <cell r="H83">
            <v>0.152</v>
          </cell>
          <cell r="I83">
            <v>0.14729999999999999</v>
          </cell>
          <cell r="J83">
            <v>0.14599999999999999</v>
          </cell>
          <cell r="K83">
            <v>0.14733827900000002</v>
          </cell>
          <cell r="L83">
            <v>0.14789087150000002</v>
          </cell>
          <cell r="M83">
            <v>0.1488530015</v>
          </cell>
          <cell r="N83">
            <v>0.1492918265</v>
          </cell>
          <cell r="O83">
            <v>0.1487</v>
          </cell>
          <cell r="P83">
            <v>0.1484</v>
          </cell>
          <cell r="Q83">
            <v>0.14829999999999999</v>
          </cell>
          <cell r="R83">
            <v>0.14710000000000001</v>
          </cell>
          <cell r="S83">
            <v>0.14699999999999999</v>
          </cell>
          <cell r="T83">
            <v>0.14760000000000001</v>
          </cell>
          <cell r="U83">
            <v>0.14799999999999999</v>
          </cell>
          <cell r="V83">
            <v>0.14929999999999999</v>
          </cell>
          <cell r="W83">
            <v>0.14949999999999999</v>
          </cell>
          <cell r="X83">
            <v>0.14960000000000001</v>
          </cell>
          <cell r="Y83">
            <v>0.14979999999999999</v>
          </cell>
          <cell r="Z83">
            <v>0.15029999999999999</v>
          </cell>
          <cell r="AA83">
            <v>0.15060000000000001</v>
          </cell>
          <cell r="AB83">
            <v>0.1507</v>
          </cell>
          <cell r="AC83">
            <v>0.14960000000000001</v>
          </cell>
        </row>
        <row r="84">
          <cell r="D84" t="str">
            <v>Rush</v>
          </cell>
          <cell r="E84">
            <v>0.15229999999999999</v>
          </cell>
          <cell r="F84">
            <v>0.15310000000000001</v>
          </cell>
          <cell r="G84">
            <v>0.15540000000000001</v>
          </cell>
          <cell r="H84">
            <v>0.1532</v>
          </cell>
          <cell r="I84">
            <v>0.14829999999999999</v>
          </cell>
          <cell r="J84">
            <v>0.14699999999999999</v>
          </cell>
          <cell r="K84">
            <v>0.1480600745</v>
          </cell>
          <cell r="L84">
            <v>0.14840944025</v>
          </cell>
          <cell r="M84">
            <v>0.148769714</v>
          </cell>
          <cell r="N84">
            <v>0.14895822650000001</v>
          </cell>
          <cell r="O84">
            <v>0.1527</v>
          </cell>
          <cell r="P84">
            <v>0.15359999999999999</v>
          </cell>
          <cell r="Q84">
            <v>0.1537</v>
          </cell>
          <cell r="R84">
            <v>0.1545</v>
          </cell>
          <cell r="S84">
            <v>0.1545</v>
          </cell>
          <cell r="T84">
            <v>0.15540000000000001</v>
          </cell>
          <cell r="U84">
            <v>0.15620000000000001</v>
          </cell>
          <cell r="V84">
            <v>0.15659999999999999</v>
          </cell>
          <cell r="W84">
            <v>0.15709999999999999</v>
          </cell>
          <cell r="X84">
            <v>0.15759999999999999</v>
          </cell>
          <cell r="Y84">
            <v>0.15840000000000001</v>
          </cell>
          <cell r="Z84">
            <v>0.15920000000000001</v>
          </cell>
          <cell r="AA84">
            <v>0.15970000000000001</v>
          </cell>
          <cell r="AB84">
            <v>0.1603</v>
          </cell>
          <cell r="AC84">
            <v>0.1603</v>
          </cell>
        </row>
        <row r="85">
          <cell r="D85" t="str">
            <v>Russell</v>
          </cell>
          <cell r="E85">
            <v>0.1517</v>
          </cell>
          <cell r="F85">
            <v>0.15210000000000001</v>
          </cell>
          <cell r="G85">
            <v>0.15459999999999999</v>
          </cell>
          <cell r="H85">
            <v>0.153</v>
          </cell>
          <cell r="I85">
            <v>0.1487</v>
          </cell>
          <cell r="J85">
            <v>0.14799999999999999</v>
          </cell>
          <cell r="K85">
            <v>0.149552978</v>
          </cell>
          <cell r="L85">
            <v>0.15076440875</v>
          </cell>
          <cell r="M85">
            <v>0.15195229437499999</v>
          </cell>
          <cell r="N85">
            <v>0.15371764437499999</v>
          </cell>
          <cell r="O85">
            <v>0.15659999999999999</v>
          </cell>
          <cell r="P85">
            <v>0.15670000000000001</v>
          </cell>
          <cell r="Q85">
            <v>0.15640000000000001</v>
          </cell>
          <cell r="R85">
            <v>0.15540000000000001</v>
          </cell>
          <cell r="S85">
            <v>0.155</v>
          </cell>
          <cell r="T85">
            <v>0.15409999999999999</v>
          </cell>
          <cell r="U85">
            <v>0.15409999999999999</v>
          </cell>
          <cell r="V85">
            <v>0.15490000000000001</v>
          </cell>
          <cell r="W85">
            <v>0.1552</v>
          </cell>
          <cell r="X85">
            <v>0.1555</v>
          </cell>
          <cell r="Y85">
            <v>0.15590000000000001</v>
          </cell>
          <cell r="Z85">
            <v>0.15659999999999999</v>
          </cell>
          <cell r="AA85">
            <v>0.15740000000000001</v>
          </cell>
          <cell r="AB85">
            <v>0.158</v>
          </cell>
          <cell r="AC85">
            <v>0.1578</v>
          </cell>
        </row>
        <row r="86">
          <cell r="D86" t="str">
            <v>Saline</v>
          </cell>
          <cell r="E86">
            <v>0.14330000000000001</v>
          </cell>
          <cell r="F86">
            <v>0.14230000000000001</v>
          </cell>
          <cell r="G86">
            <v>0.1429</v>
          </cell>
          <cell r="H86">
            <v>0.1386</v>
          </cell>
          <cell r="I86">
            <v>0.1321</v>
          </cell>
          <cell r="J86">
            <v>0.12989999999999999</v>
          </cell>
          <cell r="K86">
            <v>0.13028185512500001</v>
          </cell>
          <cell r="L86">
            <v>0.13019908399999999</v>
          </cell>
          <cell r="M86">
            <v>0.130412960375</v>
          </cell>
          <cell r="N86">
            <v>0.13079152287500001</v>
          </cell>
          <cell r="O86">
            <v>0.13400000000000001</v>
          </cell>
          <cell r="P86">
            <v>0.13450000000000001</v>
          </cell>
          <cell r="Q86">
            <v>0.1348</v>
          </cell>
          <cell r="R86">
            <v>0.13550000000000001</v>
          </cell>
          <cell r="S86">
            <v>0.13589999999999999</v>
          </cell>
          <cell r="T86">
            <v>0.1368</v>
          </cell>
          <cell r="U86">
            <v>0.1376</v>
          </cell>
          <cell r="V86">
            <v>0.1381</v>
          </cell>
          <cell r="W86">
            <v>0.1384</v>
          </cell>
          <cell r="X86">
            <v>0.1389</v>
          </cell>
          <cell r="Y86">
            <v>0.13930000000000001</v>
          </cell>
          <cell r="Z86">
            <v>0.1396</v>
          </cell>
          <cell r="AA86">
            <v>0.13969999999999999</v>
          </cell>
          <cell r="AB86">
            <v>0.13980000000000001</v>
          </cell>
          <cell r="AC86">
            <v>0.1399</v>
          </cell>
        </row>
        <row r="87">
          <cell r="D87" t="str">
            <v>Scott</v>
          </cell>
          <cell r="E87">
            <v>0.14699999999999999</v>
          </cell>
          <cell r="F87">
            <v>0.1457</v>
          </cell>
          <cell r="G87">
            <v>0.1469</v>
          </cell>
          <cell r="H87">
            <v>0.14299999999999999</v>
          </cell>
          <cell r="I87">
            <v>0.1366</v>
          </cell>
          <cell r="J87">
            <v>0.13519999999999999</v>
          </cell>
          <cell r="K87">
            <v>0.13589298725000001</v>
          </cell>
          <cell r="L87">
            <v>0.13701227375</v>
          </cell>
          <cell r="M87">
            <v>0.1377395015</v>
          </cell>
          <cell r="N87">
            <v>0.138766364</v>
          </cell>
          <cell r="O87">
            <v>0.14499999999999999</v>
          </cell>
          <cell r="P87">
            <v>0.14599999999999999</v>
          </cell>
          <cell r="Q87">
            <v>0.1464</v>
          </cell>
          <cell r="R87">
            <v>0.1474</v>
          </cell>
          <cell r="S87">
            <v>0.14760000000000001</v>
          </cell>
          <cell r="T87">
            <v>0.14879999999999999</v>
          </cell>
          <cell r="U87">
            <v>0.1492</v>
          </cell>
          <cell r="V87">
            <v>0.14960000000000001</v>
          </cell>
          <cell r="W87">
            <v>0.14979999999999999</v>
          </cell>
          <cell r="X87">
            <v>0.1497</v>
          </cell>
          <cell r="Y87">
            <v>0.14979999999999999</v>
          </cell>
          <cell r="Z87">
            <v>0.14979999999999999</v>
          </cell>
          <cell r="AA87">
            <v>0.15</v>
          </cell>
          <cell r="AB87">
            <v>0.15010000000000001</v>
          </cell>
          <cell r="AC87">
            <v>0.1502</v>
          </cell>
        </row>
        <row r="88">
          <cell r="D88" t="str">
            <v>Sedgwick</v>
          </cell>
          <cell r="E88">
            <v>0.15129999999999999</v>
          </cell>
          <cell r="F88">
            <v>0.15040000000000001</v>
          </cell>
          <cell r="G88">
            <v>0.15179999999999999</v>
          </cell>
          <cell r="H88">
            <v>0.14810000000000001</v>
          </cell>
          <cell r="I88">
            <v>0.14149999999999999</v>
          </cell>
          <cell r="J88">
            <v>0.1399</v>
          </cell>
          <cell r="K88">
            <v>0.14046778325000001</v>
          </cell>
          <cell r="L88">
            <v>0.14053967525</v>
          </cell>
          <cell r="M88">
            <v>0.14046508737499999</v>
          </cell>
          <cell r="N88">
            <v>0.14059052487500001</v>
          </cell>
          <cell r="O88">
            <v>0.1426</v>
          </cell>
          <cell r="P88">
            <v>0.1429</v>
          </cell>
          <cell r="Q88">
            <v>0.1431</v>
          </cell>
          <cell r="R88">
            <v>0.14360000000000001</v>
          </cell>
          <cell r="S88">
            <v>0.14369999999999999</v>
          </cell>
          <cell r="T88">
            <v>0.14410000000000001</v>
          </cell>
          <cell r="U88">
            <v>0.14430000000000001</v>
          </cell>
          <cell r="V88">
            <v>0.14430000000000001</v>
          </cell>
          <cell r="W88">
            <v>0.1444</v>
          </cell>
          <cell r="X88">
            <v>0.14449999999999999</v>
          </cell>
          <cell r="Y88">
            <v>0.14449999999999999</v>
          </cell>
          <cell r="Z88">
            <v>0.14460000000000001</v>
          </cell>
          <cell r="AA88">
            <v>0.14449999999999999</v>
          </cell>
          <cell r="AB88">
            <v>0.14460000000000001</v>
          </cell>
          <cell r="AC88">
            <v>0.14460000000000001</v>
          </cell>
        </row>
        <row r="89">
          <cell r="D89" t="str">
            <v>Seward</v>
          </cell>
          <cell r="E89">
            <v>0.1454</v>
          </cell>
          <cell r="F89">
            <v>0.14480000000000001</v>
          </cell>
          <cell r="G89">
            <v>0.14680000000000001</v>
          </cell>
          <cell r="H89">
            <v>0.14419999999999999</v>
          </cell>
          <cell r="I89">
            <v>0.13880000000000001</v>
          </cell>
          <cell r="J89">
            <v>0.13739999999999999</v>
          </cell>
          <cell r="K89">
            <v>0.13812909725</v>
          </cell>
          <cell r="L89">
            <v>0.13837513437500001</v>
          </cell>
          <cell r="M89">
            <v>0.13876137687500001</v>
          </cell>
          <cell r="N89">
            <v>0.138599076875</v>
          </cell>
          <cell r="O89">
            <v>0.13869999999999999</v>
          </cell>
          <cell r="P89">
            <v>0.13919999999999999</v>
          </cell>
          <cell r="Q89">
            <v>0.1396</v>
          </cell>
          <cell r="R89">
            <v>0.14000000000000001</v>
          </cell>
          <cell r="S89">
            <v>0.14050000000000001</v>
          </cell>
          <cell r="T89">
            <v>0.1419</v>
          </cell>
          <cell r="U89">
            <v>0.1434</v>
          </cell>
          <cell r="V89">
            <v>0.1449</v>
          </cell>
          <cell r="W89">
            <v>0.14649999999999999</v>
          </cell>
          <cell r="X89">
            <v>0.1477</v>
          </cell>
          <cell r="Y89">
            <v>0.1489</v>
          </cell>
          <cell r="Z89">
            <v>0.1502</v>
          </cell>
          <cell r="AA89">
            <v>0.15129999999999999</v>
          </cell>
          <cell r="AB89">
            <v>0.15179999999999999</v>
          </cell>
          <cell r="AC89">
            <v>0.152</v>
          </cell>
        </row>
        <row r="90">
          <cell r="D90" t="str">
            <v>Shawnee</v>
          </cell>
          <cell r="E90">
            <v>0.1525</v>
          </cell>
          <cell r="F90">
            <v>0.15190000000000001</v>
          </cell>
          <cell r="G90">
            <v>0.1535</v>
          </cell>
          <cell r="H90">
            <v>0.1502</v>
          </cell>
          <cell r="I90">
            <v>0.14399999999999999</v>
          </cell>
          <cell r="J90">
            <v>0.1426</v>
          </cell>
          <cell r="K90">
            <v>0.14311342062499999</v>
          </cell>
          <cell r="L90">
            <v>0.143152529</v>
          </cell>
          <cell r="M90">
            <v>0.14333093562499999</v>
          </cell>
          <cell r="N90">
            <v>0.14347778562499999</v>
          </cell>
          <cell r="O90">
            <v>0.14560000000000001</v>
          </cell>
          <cell r="P90">
            <v>0.14580000000000001</v>
          </cell>
          <cell r="Q90">
            <v>0.14599999999999999</v>
          </cell>
          <cell r="R90">
            <v>0.14649999999999999</v>
          </cell>
          <cell r="S90">
            <v>0.1469</v>
          </cell>
          <cell r="T90">
            <v>0.14760000000000001</v>
          </cell>
          <cell r="U90">
            <v>0.1482</v>
          </cell>
          <cell r="V90">
            <v>0.1487</v>
          </cell>
          <cell r="W90">
            <v>0.14910000000000001</v>
          </cell>
          <cell r="X90">
            <v>0.14940000000000001</v>
          </cell>
          <cell r="Y90">
            <v>0.1497</v>
          </cell>
          <cell r="Z90">
            <v>0.14990000000000001</v>
          </cell>
          <cell r="AA90">
            <v>0.15</v>
          </cell>
          <cell r="AB90">
            <v>0.15010000000000001</v>
          </cell>
          <cell r="AC90">
            <v>0.1502</v>
          </cell>
        </row>
        <row r="91">
          <cell r="D91" t="str">
            <v>Sheridan</v>
          </cell>
          <cell r="E91">
            <v>0.15229999999999999</v>
          </cell>
          <cell r="F91">
            <v>0.1525</v>
          </cell>
          <cell r="G91">
            <v>0.15479999999999999</v>
          </cell>
          <cell r="H91">
            <v>0.152</v>
          </cell>
          <cell r="I91">
            <v>0.1462</v>
          </cell>
          <cell r="J91">
            <v>0.1449</v>
          </cell>
          <cell r="K91">
            <v>0.1451993315</v>
          </cell>
          <cell r="L91">
            <v>0.14464176012500002</v>
          </cell>
          <cell r="M91">
            <v>0.14405437325000001</v>
          </cell>
          <cell r="N91">
            <v>0.14337146075000001</v>
          </cell>
          <cell r="O91">
            <v>0.14510000000000001</v>
          </cell>
          <cell r="P91">
            <v>0.1462</v>
          </cell>
          <cell r="Q91">
            <v>0.14680000000000001</v>
          </cell>
          <cell r="R91">
            <v>0.1487</v>
          </cell>
          <cell r="S91">
            <v>0.14949999999999999</v>
          </cell>
          <cell r="T91">
            <v>0.151</v>
          </cell>
          <cell r="U91">
            <v>0.15160000000000001</v>
          </cell>
          <cell r="V91">
            <v>0.1522</v>
          </cell>
          <cell r="W91">
            <v>0.152</v>
          </cell>
          <cell r="X91">
            <v>0.15160000000000001</v>
          </cell>
          <cell r="Y91">
            <v>0.15090000000000001</v>
          </cell>
          <cell r="Z91">
            <v>0.14940000000000001</v>
          </cell>
          <cell r="AA91">
            <v>0.14799999999999999</v>
          </cell>
          <cell r="AB91">
            <v>0.1477</v>
          </cell>
          <cell r="AC91">
            <v>0.14680000000000001</v>
          </cell>
        </row>
        <row r="92">
          <cell r="D92" t="str">
            <v>Sherman</v>
          </cell>
          <cell r="E92">
            <v>0.14940000000000001</v>
          </cell>
          <cell r="F92">
            <v>0.14860000000000001</v>
          </cell>
          <cell r="G92">
            <v>0.15029999999999999</v>
          </cell>
          <cell r="H92">
            <v>0.14680000000000001</v>
          </cell>
          <cell r="I92">
            <v>0.14080000000000001</v>
          </cell>
          <cell r="J92">
            <v>0.1389</v>
          </cell>
          <cell r="K92">
            <v>0.13870276474999998</v>
          </cell>
          <cell r="L92">
            <v>0.138397701875</v>
          </cell>
          <cell r="M92">
            <v>0.13836911862500001</v>
          </cell>
          <cell r="N92">
            <v>0.13849286862499999</v>
          </cell>
          <cell r="O92">
            <v>0.14030000000000001</v>
          </cell>
          <cell r="P92">
            <v>0.14119999999999999</v>
          </cell>
          <cell r="Q92">
            <v>0.14169999999999999</v>
          </cell>
          <cell r="R92">
            <v>0.14230000000000001</v>
          </cell>
          <cell r="S92">
            <v>0.14280000000000001</v>
          </cell>
          <cell r="T92">
            <v>0.14380000000000001</v>
          </cell>
          <cell r="U92">
            <v>0.14419999999999999</v>
          </cell>
          <cell r="V92">
            <v>0.14499999999999999</v>
          </cell>
          <cell r="W92">
            <v>0.1454</v>
          </cell>
          <cell r="X92">
            <v>0.1454</v>
          </cell>
          <cell r="Y92">
            <v>0.1454</v>
          </cell>
          <cell r="Z92">
            <v>0.14580000000000001</v>
          </cell>
          <cell r="AA92">
            <v>0.1462</v>
          </cell>
          <cell r="AB92">
            <v>0.14680000000000001</v>
          </cell>
          <cell r="AC92">
            <v>0.14760000000000001</v>
          </cell>
        </row>
        <row r="93">
          <cell r="D93" t="str">
            <v>Smith</v>
          </cell>
          <cell r="E93">
            <v>0.1525</v>
          </cell>
          <cell r="F93">
            <v>0.15229999999999999</v>
          </cell>
          <cell r="G93">
            <v>0.154</v>
          </cell>
          <cell r="H93">
            <v>0.1502</v>
          </cell>
          <cell r="I93">
            <v>0.14349999999999999</v>
          </cell>
          <cell r="J93">
            <v>0.1421</v>
          </cell>
          <cell r="K93">
            <v>0.14279089174999998</v>
          </cell>
          <cell r="L93">
            <v>0.14339479625000001</v>
          </cell>
          <cell r="M93">
            <v>0.14405392587499999</v>
          </cell>
          <cell r="N93">
            <v>0.145136475875</v>
          </cell>
          <cell r="O93">
            <v>0.15459999999999999</v>
          </cell>
          <cell r="P93">
            <v>0.15690000000000001</v>
          </cell>
          <cell r="Q93">
            <v>0.15809999999999999</v>
          </cell>
          <cell r="R93">
            <v>0.161</v>
          </cell>
          <cell r="S93">
            <v>0.16209999999999999</v>
          </cell>
          <cell r="T93">
            <v>0.1651</v>
          </cell>
          <cell r="U93">
            <v>0.16639999999999999</v>
          </cell>
          <cell r="V93">
            <v>0.1673</v>
          </cell>
          <cell r="W93">
            <v>0.16700000000000001</v>
          </cell>
          <cell r="X93">
            <v>0.16619999999999999</v>
          </cell>
          <cell r="Y93">
            <v>0.1648</v>
          </cell>
          <cell r="Z93">
            <v>0.1633</v>
          </cell>
          <cell r="AA93">
            <v>0.1615</v>
          </cell>
          <cell r="AB93">
            <v>0.1598</v>
          </cell>
          <cell r="AC93">
            <v>0.15740000000000001</v>
          </cell>
        </row>
        <row r="94">
          <cell r="D94" t="str">
            <v>Stafford</v>
          </cell>
          <cell r="E94">
            <v>0.15110000000000001</v>
          </cell>
          <cell r="F94">
            <v>0.15129999999999999</v>
          </cell>
          <cell r="G94">
            <v>0.15359999999999999</v>
          </cell>
          <cell r="H94">
            <v>0.15160000000000001</v>
          </cell>
          <cell r="I94">
            <v>0.14710000000000001</v>
          </cell>
          <cell r="J94">
            <v>0.14660000000000001</v>
          </cell>
          <cell r="K94">
            <v>0.14823996724999999</v>
          </cell>
          <cell r="L94">
            <v>0.14911641349999999</v>
          </cell>
          <cell r="M94">
            <v>0.1500382025</v>
          </cell>
          <cell r="N94">
            <v>0.15059781500000002</v>
          </cell>
          <cell r="O94">
            <v>0.1507</v>
          </cell>
          <cell r="P94">
            <v>0.15040000000000001</v>
          </cell>
          <cell r="Q94">
            <v>0.15060000000000001</v>
          </cell>
          <cell r="R94">
            <v>0.1502</v>
          </cell>
          <cell r="S94">
            <v>0.15029999999999999</v>
          </cell>
          <cell r="T94">
            <v>0.15079999999999999</v>
          </cell>
          <cell r="U94">
            <v>0.15110000000000001</v>
          </cell>
          <cell r="V94">
            <v>0.15140000000000001</v>
          </cell>
          <cell r="W94">
            <v>0.1515</v>
          </cell>
          <cell r="X94">
            <v>0.1517</v>
          </cell>
          <cell r="Y94">
            <v>0.1517</v>
          </cell>
          <cell r="Z94">
            <v>0.152</v>
          </cell>
          <cell r="AA94">
            <v>0.1522</v>
          </cell>
          <cell r="AB94">
            <v>0.15229999999999999</v>
          </cell>
          <cell r="AC94">
            <v>0.15240000000000001</v>
          </cell>
        </row>
        <row r="95">
          <cell r="D95" t="str">
            <v>Stanton</v>
          </cell>
          <cell r="E95">
            <v>0.14249999999999999</v>
          </cell>
          <cell r="F95">
            <v>0.14269999999999999</v>
          </cell>
          <cell r="G95">
            <v>0.1444</v>
          </cell>
          <cell r="H95">
            <v>0.1416</v>
          </cell>
          <cell r="I95">
            <v>0.1366</v>
          </cell>
          <cell r="J95">
            <v>0.1353</v>
          </cell>
          <cell r="K95">
            <v>0.13583944025</v>
          </cell>
          <cell r="L95">
            <v>0.135998117375</v>
          </cell>
          <cell r="M95">
            <v>0.136390810625</v>
          </cell>
          <cell r="N95">
            <v>0.13648924812499999</v>
          </cell>
          <cell r="O95">
            <v>0.1389</v>
          </cell>
          <cell r="P95">
            <v>0.1409</v>
          </cell>
          <cell r="Q95">
            <v>0.1424</v>
          </cell>
          <cell r="R95">
            <v>0.14530000000000001</v>
          </cell>
          <cell r="S95">
            <v>0.14649999999999999</v>
          </cell>
          <cell r="T95">
            <v>0.14990000000000001</v>
          </cell>
          <cell r="U95">
            <v>0.15260000000000001</v>
          </cell>
          <cell r="V95">
            <v>0.15609999999999999</v>
          </cell>
          <cell r="W95">
            <v>0.1593</v>
          </cell>
          <cell r="X95">
            <v>0.16139999999999999</v>
          </cell>
          <cell r="Y95">
            <v>0.16309999999999999</v>
          </cell>
          <cell r="Z95">
            <v>0.16550000000000001</v>
          </cell>
          <cell r="AA95">
            <v>0.16839999999999999</v>
          </cell>
          <cell r="AB95">
            <v>0.16919999999999999</v>
          </cell>
          <cell r="AC95">
            <v>0.1699</v>
          </cell>
        </row>
        <row r="96">
          <cell r="D96" t="str">
            <v>Stevens</v>
          </cell>
          <cell r="E96">
            <v>0.1326</v>
          </cell>
          <cell r="F96">
            <v>0.1336</v>
          </cell>
          <cell r="G96">
            <v>0.13600000000000001</v>
          </cell>
          <cell r="H96">
            <v>0.1338</v>
          </cell>
          <cell r="I96">
            <v>0.12909999999999999</v>
          </cell>
          <cell r="J96">
            <v>0.12740000000000001</v>
          </cell>
          <cell r="K96">
            <v>0.127844017625</v>
          </cell>
          <cell r="L96">
            <v>0.12797769875000001</v>
          </cell>
          <cell r="M96">
            <v>0.12826797949999999</v>
          </cell>
          <cell r="N96">
            <v>0.1283792795</v>
          </cell>
          <cell r="O96">
            <v>0.13109999999999999</v>
          </cell>
          <cell r="P96">
            <v>0.13220000000000001</v>
          </cell>
          <cell r="Q96">
            <v>0.13270000000000001</v>
          </cell>
          <cell r="R96">
            <v>0.13400000000000001</v>
          </cell>
          <cell r="S96">
            <v>0.13489999999999999</v>
          </cell>
          <cell r="T96">
            <v>0.1371</v>
          </cell>
          <cell r="U96">
            <v>0.13919999999999999</v>
          </cell>
          <cell r="V96">
            <v>0.1426</v>
          </cell>
          <cell r="W96">
            <v>0.14549999999999999</v>
          </cell>
          <cell r="X96">
            <v>0.14799999999999999</v>
          </cell>
          <cell r="Y96">
            <v>0.15010000000000001</v>
          </cell>
          <cell r="Z96">
            <v>0.15240000000000001</v>
          </cell>
          <cell r="AA96">
            <v>0.15440000000000001</v>
          </cell>
          <cell r="AB96">
            <v>0.1555</v>
          </cell>
          <cell r="AC96">
            <v>0.1552</v>
          </cell>
        </row>
        <row r="97">
          <cell r="D97" t="str">
            <v>Sumner</v>
          </cell>
          <cell r="E97">
            <v>0.1565</v>
          </cell>
          <cell r="F97">
            <v>0.156</v>
          </cell>
          <cell r="G97">
            <v>0.15790000000000001</v>
          </cell>
          <cell r="H97">
            <v>0.15459999999999999</v>
          </cell>
          <cell r="I97">
            <v>0.14860000000000001</v>
          </cell>
          <cell r="J97">
            <v>0.14699999999999999</v>
          </cell>
          <cell r="K97">
            <v>0.14738112949999999</v>
          </cell>
          <cell r="L97">
            <v>0.14749844937500001</v>
          </cell>
          <cell r="M97">
            <v>0.14783754125000001</v>
          </cell>
          <cell r="N97">
            <v>0.14818235375</v>
          </cell>
          <cell r="O97">
            <v>0.15240000000000001</v>
          </cell>
          <cell r="P97">
            <v>0.153</v>
          </cell>
          <cell r="Q97">
            <v>0.15359999999999999</v>
          </cell>
          <cell r="R97">
            <v>0.15390000000000001</v>
          </cell>
          <cell r="S97">
            <v>0.1537</v>
          </cell>
          <cell r="T97">
            <v>0.15359999999999999</v>
          </cell>
          <cell r="U97">
            <v>0.15359999999999999</v>
          </cell>
          <cell r="V97">
            <v>0.1535</v>
          </cell>
          <cell r="W97">
            <v>0.1532</v>
          </cell>
          <cell r="X97">
            <v>0.1527</v>
          </cell>
          <cell r="Y97">
            <v>0.152</v>
          </cell>
          <cell r="Z97">
            <v>0.15210000000000001</v>
          </cell>
          <cell r="AA97">
            <v>0.1522</v>
          </cell>
          <cell r="AB97">
            <v>0.15260000000000001</v>
          </cell>
          <cell r="AC97">
            <v>0.15260000000000001</v>
          </cell>
        </row>
        <row r="98">
          <cell r="D98" t="str">
            <v>Thomas</v>
          </cell>
          <cell r="E98">
            <v>0.15210000000000001</v>
          </cell>
          <cell r="F98">
            <v>0.1517</v>
          </cell>
          <cell r="G98">
            <v>0.15340000000000001</v>
          </cell>
          <cell r="H98">
            <v>0.15040000000000001</v>
          </cell>
          <cell r="I98">
            <v>0.14460000000000001</v>
          </cell>
          <cell r="J98">
            <v>0.14299999999999999</v>
          </cell>
          <cell r="K98">
            <v>0.14328140750000001</v>
          </cell>
          <cell r="L98">
            <v>0.14326016599999999</v>
          </cell>
          <cell r="M98">
            <v>0.143578022375</v>
          </cell>
          <cell r="N98">
            <v>0.143952234875</v>
          </cell>
          <cell r="O98">
            <v>0.14849999999999999</v>
          </cell>
          <cell r="P98">
            <v>0.14929999999999999</v>
          </cell>
          <cell r="Q98">
            <v>0.1497</v>
          </cell>
          <cell r="R98">
            <v>0.15040000000000001</v>
          </cell>
          <cell r="S98">
            <v>0.151</v>
          </cell>
          <cell r="T98">
            <v>0.1522</v>
          </cell>
          <cell r="U98">
            <v>0.153</v>
          </cell>
          <cell r="V98">
            <v>0.15390000000000001</v>
          </cell>
          <cell r="W98">
            <v>0.15490000000000001</v>
          </cell>
          <cell r="X98">
            <v>0.15570000000000001</v>
          </cell>
          <cell r="Y98">
            <v>0.15609999999999999</v>
          </cell>
          <cell r="Z98">
            <v>0.15640000000000001</v>
          </cell>
          <cell r="AA98">
            <v>0.15640000000000001</v>
          </cell>
          <cell r="AB98">
            <v>0.15640000000000001</v>
          </cell>
          <cell r="AC98">
            <v>0.15620000000000001</v>
          </cell>
        </row>
        <row r="99">
          <cell r="D99" t="str">
            <v>Trego</v>
          </cell>
          <cell r="E99">
            <v>0.15090000000000001</v>
          </cell>
          <cell r="F99">
            <v>0.1512</v>
          </cell>
          <cell r="G99">
            <v>0.1532</v>
          </cell>
          <cell r="H99">
            <v>0.1507</v>
          </cell>
          <cell r="I99">
            <v>0.1452</v>
          </cell>
          <cell r="J99">
            <v>0.14380000000000001</v>
          </cell>
          <cell r="K99">
            <v>0.144703351625</v>
          </cell>
          <cell r="L99">
            <v>0.14502983524999999</v>
          </cell>
          <cell r="M99">
            <v>0.14529022325000002</v>
          </cell>
          <cell r="N99">
            <v>0.14564602325000001</v>
          </cell>
          <cell r="O99">
            <v>0.1477</v>
          </cell>
          <cell r="P99">
            <v>0.14860000000000001</v>
          </cell>
          <cell r="Q99">
            <v>0.1489</v>
          </cell>
          <cell r="R99">
            <v>0.14949999999999999</v>
          </cell>
          <cell r="S99">
            <v>0.14979999999999999</v>
          </cell>
          <cell r="T99">
            <v>0.15010000000000001</v>
          </cell>
          <cell r="U99">
            <v>0.15129999999999999</v>
          </cell>
          <cell r="V99">
            <v>0.15290000000000001</v>
          </cell>
          <cell r="W99">
            <v>0.1537</v>
          </cell>
          <cell r="X99">
            <v>0.15390000000000001</v>
          </cell>
          <cell r="Y99">
            <v>0.1537</v>
          </cell>
          <cell r="Z99">
            <v>0.15340000000000001</v>
          </cell>
          <cell r="AA99">
            <v>0.15290000000000001</v>
          </cell>
          <cell r="AB99">
            <v>0.1527</v>
          </cell>
          <cell r="AC99">
            <v>0.15040000000000001</v>
          </cell>
        </row>
        <row r="100">
          <cell r="D100" t="str">
            <v>Wabaunsee</v>
          </cell>
          <cell r="E100">
            <v>0.14910000000000001</v>
          </cell>
          <cell r="F100">
            <v>0.1489</v>
          </cell>
          <cell r="G100">
            <v>0.15049999999999999</v>
          </cell>
          <cell r="H100">
            <v>0.14729999999999999</v>
          </cell>
          <cell r="I100">
            <v>0.1414</v>
          </cell>
          <cell r="J100">
            <v>0.1399</v>
          </cell>
          <cell r="K100">
            <v>0.141040341875</v>
          </cell>
          <cell r="L100">
            <v>0.14121120500000001</v>
          </cell>
          <cell r="M100">
            <v>0.14166187925000001</v>
          </cell>
          <cell r="N100">
            <v>0.14207475424999999</v>
          </cell>
          <cell r="O100">
            <v>0.1472</v>
          </cell>
          <cell r="P100">
            <v>0.1482</v>
          </cell>
          <cell r="Q100">
            <v>0.1487</v>
          </cell>
          <cell r="R100">
            <v>0.14990000000000001</v>
          </cell>
          <cell r="S100">
            <v>0.15029999999999999</v>
          </cell>
          <cell r="T100">
            <v>0.15160000000000001</v>
          </cell>
          <cell r="U100">
            <v>0.1522</v>
          </cell>
          <cell r="V100">
            <v>0.15260000000000001</v>
          </cell>
          <cell r="W100">
            <v>0.15290000000000001</v>
          </cell>
          <cell r="X100">
            <v>0.153</v>
          </cell>
          <cell r="Y100">
            <v>0.15310000000000001</v>
          </cell>
          <cell r="Z100">
            <v>0.15310000000000001</v>
          </cell>
          <cell r="AA100">
            <v>0.15290000000000001</v>
          </cell>
          <cell r="AB100">
            <v>0.1525</v>
          </cell>
          <cell r="AC100">
            <v>0.15210000000000001</v>
          </cell>
        </row>
        <row r="101">
          <cell r="D101" t="str">
            <v>Wallace</v>
          </cell>
          <cell r="E101">
            <v>0.1474</v>
          </cell>
          <cell r="F101">
            <v>0.14799999999999999</v>
          </cell>
          <cell r="G101">
            <v>0.15010000000000001</v>
          </cell>
          <cell r="H101">
            <v>0.1467</v>
          </cell>
          <cell r="I101">
            <v>0.1409</v>
          </cell>
          <cell r="J101">
            <v>0.13950000000000001</v>
          </cell>
          <cell r="K101">
            <v>0.13976042562499999</v>
          </cell>
          <cell r="L101">
            <v>0.13933072099999999</v>
          </cell>
          <cell r="M101">
            <v>0.13926237087499999</v>
          </cell>
          <cell r="N101">
            <v>0.13939185837500001</v>
          </cell>
          <cell r="O101">
            <v>0.14580000000000001</v>
          </cell>
          <cell r="P101">
            <v>0.1482</v>
          </cell>
          <cell r="Q101">
            <v>0.14910000000000001</v>
          </cell>
          <cell r="R101">
            <v>0.15179999999999999</v>
          </cell>
          <cell r="S101">
            <v>0.15210000000000001</v>
          </cell>
          <cell r="T101">
            <v>0.1547</v>
          </cell>
          <cell r="U101">
            <v>0.15559999999999999</v>
          </cell>
          <cell r="V101">
            <v>0.15579999999999999</v>
          </cell>
          <cell r="W101">
            <v>0.15620000000000001</v>
          </cell>
          <cell r="X101">
            <v>0.15590000000000001</v>
          </cell>
          <cell r="Y101">
            <v>0.15540000000000001</v>
          </cell>
          <cell r="Z101">
            <v>0.15479999999999999</v>
          </cell>
          <cell r="AA101">
            <v>0.15479999999999999</v>
          </cell>
          <cell r="AB101">
            <v>0.15490000000000001</v>
          </cell>
          <cell r="AC101">
            <v>0.1555</v>
          </cell>
        </row>
        <row r="102">
          <cell r="D102" t="str">
            <v>Washington</v>
          </cell>
          <cell r="E102">
            <v>0.1532</v>
          </cell>
          <cell r="F102">
            <v>0.1537</v>
          </cell>
          <cell r="G102">
            <v>0.15579999999999999</v>
          </cell>
          <cell r="H102">
            <v>0.15290000000000001</v>
          </cell>
          <cell r="I102">
            <v>0.14729999999999999</v>
          </cell>
          <cell r="J102">
            <v>0.1459</v>
          </cell>
          <cell r="K102">
            <v>0.14701718074999998</v>
          </cell>
          <cell r="L102">
            <v>0.14739982325000001</v>
          </cell>
          <cell r="M102">
            <v>0.14769999575000001</v>
          </cell>
          <cell r="N102">
            <v>0.14817392074999999</v>
          </cell>
          <cell r="O102">
            <v>0.15260000000000001</v>
          </cell>
          <cell r="P102">
            <v>0.15359999999999999</v>
          </cell>
          <cell r="Q102">
            <v>0.154</v>
          </cell>
          <cell r="R102">
            <v>0.15540000000000001</v>
          </cell>
          <cell r="S102">
            <v>0.15559999999999999</v>
          </cell>
          <cell r="T102">
            <v>0.15659999999999999</v>
          </cell>
          <cell r="U102">
            <v>0.15690000000000001</v>
          </cell>
          <cell r="V102">
            <v>0.15679999999999999</v>
          </cell>
          <cell r="W102">
            <v>0.1565</v>
          </cell>
          <cell r="X102">
            <v>0.15590000000000001</v>
          </cell>
          <cell r="Y102">
            <v>0.15509999999999999</v>
          </cell>
          <cell r="Z102">
            <v>0.1542</v>
          </cell>
          <cell r="AA102">
            <v>0.15290000000000001</v>
          </cell>
          <cell r="AB102">
            <v>0.1517</v>
          </cell>
          <cell r="AC102">
            <v>0.1497</v>
          </cell>
        </row>
        <row r="103">
          <cell r="D103" t="str">
            <v>Wichita</v>
          </cell>
          <cell r="E103">
            <v>0.1532</v>
          </cell>
          <cell r="F103">
            <v>0.15359999999999999</v>
          </cell>
          <cell r="G103">
            <v>0.1552</v>
          </cell>
          <cell r="H103">
            <v>0.152</v>
          </cell>
          <cell r="I103">
            <v>0.1462</v>
          </cell>
          <cell r="J103">
            <v>0.14510000000000001</v>
          </cell>
          <cell r="K103">
            <v>0.14542654587500001</v>
          </cell>
          <cell r="L103">
            <v>0.14520933875</v>
          </cell>
          <cell r="M103">
            <v>0.14513953925</v>
          </cell>
          <cell r="N103">
            <v>0.14532261425000001</v>
          </cell>
          <cell r="O103">
            <v>0.1522</v>
          </cell>
          <cell r="P103">
            <v>0.15329999999999999</v>
          </cell>
          <cell r="Q103">
            <v>0.1537</v>
          </cell>
          <cell r="R103">
            <v>0.1555</v>
          </cell>
          <cell r="S103">
            <v>0.15529999999999999</v>
          </cell>
          <cell r="T103">
            <v>0.156</v>
          </cell>
          <cell r="U103">
            <v>0.156</v>
          </cell>
          <cell r="V103">
            <v>0.15629999999999999</v>
          </cell>
          <cell r="W103">
            <v>0.15579999999999999</v>
          </cell>
          <cell r="X103">
            <v>0.15559999999999999</v>
          </cell>
          <cell r="Y103">
            <v>0.15509999999999999</v>
          </cell>
          <cell r="Z103">
            <v>0.15490000000000001</v>
          </cell>
          <cell r="AA103">
            <v>0.15490000000000001</v>
          </cell>
          <cell r="AB103">
            <v>0.15509999999999999</v>
          </cell>
          <cell r="AC103">
            <v>0.15490000000000001</v>
          </cell>
        </row>
        <row r="104">
          <cell r="D104" t="str">
            <v>Wilson</v>
          </cell>
          <cell r="E104">
            <v>0.1517</v>
          </cell>
          <cell r="F104">
            <v>0.15190000000000001</v>
          </cell>
          <cell r="G104">
            <v>0.1535</v>
          </cell>
          <cell r="H104">
            <v>0.15029999999999999</v>
          </cell>
          <cell r="I104">
            <v>0.14419999999999999</v>
          </cell>
          <cell r="J104">
            <v>0.1424</v>
          </cell>
          <cell r="K104">
            <v>0.14253424887499999</v>
          </cell>
          <cell r="L104">
            <v>0.14218446237499999</v>
          </cell>
          <cell r="M104">
            <v>0.14202779900000001</v>
          </cell>
          <cell r="N104">
            <v>0.141904424</v>
          </cell>
          <cell r="O104">
            <v>0.14230000000000001</v>
          </cell>
          <cell r="P104">
            <v>0.1424</v>
          </cell>
          <cell r="Q104">
            <v>0.14269999999999999</v>
          </cell>
          <cell r="R104">
            <v>0.1431</v>
          </cell>
          <cell r="S104">
            <v>0.14319999999999999</v>
          </cell>
          <cell r="T104">
            <v>0.1434</v>
          </cell>
          <cell r="U104">
            <v>0.14360000000000001</v>
          </cell>
          <cell r="V104">
            <v>0.14399999999999999</v>
          </cell>
          <cell r="W104">
            <v>0.1447</v>
          </cell>
          <cell r="X104">
            <v>0.14510000000000001</v>
          </cell>
          <cell r="Y104">
            <v>0.1454</v>
          </cell>
          <cell r="Z104">
            <v>0.14560000000000001</v>
          </cell>
          <cell r="AA104">
            <v>0.14610000000000001</v>
          </cell>
          <cell r="AB104">
            <v>0.1467</v>
          </cell>
          <cell r="AC104">
            <v>0.14760000000000001</v>
          </cell>
        </row>
        <row r="105">
          <cell r="D105" t="str">
            <v>Woodson</v>
          </cell>
          <cell r="E105">
            <v>0.14940000000000001</v>
          </cell>
          <cell r="F105">
            <v>0.14940000000000001</v>
          </cell>
          <cell r="G105">
            <v>0.15090000000000001</v>
          </cell>
          <cell r="H105">
            <v>0.14779999999999999</v>
          </cell>
          <cell r="I105">
            <v>0.14199999999999999</v>
          </cell>
          <cell r="J105">
            <v>0.14019999999999999</v>
          </cell>
          <cell r="K105">
            <v>0.14078517912499999</v>
          </cell>
          <cell r="L105">
            <v>0.14108778499999999</v>
          </cell>
          <cell r="M105">
            <v>0.14161823900000001</v>
          </cell>
          <cell r="N105">
            <v>0.1423595765</v>
          </cell>
          <cell r="O105">
            <v>0.14879999999999999</v>
          </cell>
          <cell r="P105">
            <v>0.15049999999999999</v>
          </cell>
          <cell r="Q105">
            <v>0.15129999999999999</v>
          </cell>
          <cell r="R105">
            <v>0.15340000000000001</v>
          </cell>
          <cell r="S105">
            <v>0.15390000000000001</v>
          </cell>
          <cell r="T105">
            <v>0.15570000000000001</v>
          </cell>
          <cell r="U105">
            <v>0.15690000000000001</v>
          </cell>
          <cell r="V105">
            <v>0.15809999999999999</v>
          </cell>
          <cell r="W105">
            <v>0.15870000000000001</v>
          </cell>
          <cell r="X105">
            <v>0.1588</v>
          </cell>
          <cell r="Y105">
            <v>0.15870000000000001</v>
          </cell>
          <cell r="Z105">
            <v>0.1588</v>
          </cell>
          <cell r="AA105">
            <v>0.15870000000000001</v>
          </cell>
          <cell r="AB105">
            <v>0.15840000000000001</v>
          </cell>
          <cell r="AC105">
            <v>0.15720000000000001</v>
          </cell>
        </row>
        <row r="106">
          <cell r="D106" t="str">
            <v>Wyandotte</v>
          </cell>
          <cell r="E106">
            <v>0.15479999999999999</v>
          </cell>
          <cell r="F106">
            <v>0.15290000000000001</v>
          </cell>
          <cell r="G106">
            <v>0.15459999999999999</v>
          </cell>
          <cell r="H106">
            <v>0.15210000000000001</v>
          </cell>
          <cell r="I106">
            <v>0.14680000000000001</v>
          </cell>
          <cell r="J106">
            <v>0.14480000000000001</v>
          </cell>
          <cell r="K106">
            <v>0.14521351737499999</v>
          </cell>
          <cell r="L106">
            <v>0.144840263</v>
          </cell>
          <cell r="M106">
            <v>0.14401620649999999</v>
          </cell>
          <cell r="N106">
            <v>0.14349551900000002</v>
          </cell>
          <cell r="O106">
            <v>0.14510000000000001</v>
          </cell>
          <cell r="P106">
            <v>0.1454</v>
          </cell>
          <cell r="Q106">
            <v>0.14580000000000001</v>
          </cell>
          <cell r="R106">
            <v>0.14680000000000001</v>
          </cell>
          <cell r="S106">
            <v>0.1472</v>
          </cell>
          <cell r="T106">
            <v>0.14849999999999999</v>
          </cell>
          <cell r="U106">
            <v>0.1487</v>
          </cell>
          <cell r="V106">
            <v>0.14929999999999999</v>
          </cell>
          <cell r="W106">
            <v>0.14979999999999999</v>
          </cell>
          <cell r="X106">
            <v>0.15</v>
          </cell>
          <cell r="Y106">
            <v>0.1502</v>
          </cell>
          <cell r="Z106">
            <v>0.15049999999999999</v>
          </cell>
          <cell r="AA106">
            <v>0.15040000000000001</v>
          </cell>
          <cell r="AB106">
            <v>0.15</v>
          </cell>
          <cell r="AC106">
            <v>0.14940000000000001</v>
          </cell>
        </row>
      </sheetData>
      <sheetData sheetId="2">
        <row r="4">
          <cell r="E4">
            <v>13.11</v>
          </cell>
          <cell r="F4">
            <v>13.16</v>
          </cell>
          <cell r="G4">
            <v>13.63</v>
          </cell>
          <cell r="H4">
            <v>14.05</v>
          </cell>
          <cell r="I4">
            <v>14.54</v>
          </cell>
          <cell r="J4">
            <v>15.13</v>
          </cell>
          <cell r="K4">
            <v>15.36</v>
          </cell>
          <cell r="L4">
            <v>15.45</v>
          </cell>
          <cell r="N4">
            <v>15.04</v>
          </cell>
          <cell r="O4">
            <v>14.27</v>
          </cell>
          <cell r="P4">
            <v>12.85</v>
          </cell>
          <cell r="Q4">
            <v>6.82</v>
          </cell>
          <cell r="R4">
            <v>7.37</v>
          </cell>
          <cell r="S4">
            <v>8.42</v>
          </cell>
          <cell r="T4">
            <v>11.57</v>
          </cell>
          <cell r="U4">
            <v>14.31</v>
          </cell>
        </row>
        <row r="5">
          <cell r="E5">
            <v>12.8</v>
          </cell>
          <cell r="F5">
            <v>12.76</v>
          </cell>
          <cell r="G5">
            <v>13.09</v>
          </cell>
          <cell r="H5">
            <v>13.51</v>
          </cell>
          <cell r="I5">
            <v>14.07</v>
          </cell>
          <cell r="J5">
            <v>14.78</v>
          </cell>
          <cell r="K5">
            <v>15.09</v>
          </cell>
          <cell r="L5">
            <v>15.3</v>
          </cell>
          <cell r="N5">
            <v>14.67</v>
          </cell>
          <cell r="O5">
            <v>13.86</v>
          </cell>
          <cell r="P5">
            <v>12.73</v>
          </cell>
          <cell r="Q5">
            <v>7.58</v>
          </cell>
          <cell r="R5">
            <v>9.34</v>
          </cell>
          <cell r="S5">
            <v>12.88</v>
          </cell>
          <cell r="T5">
            <v>18.13</v>
          </cell>
          <cell r="U5">
            <v>22.51</v>
          </cell>
        </row>
        <row r="6">
          <cell r="E6">
            <v>10.119999999999999</v>
          </cell>
          <cell r="F6">
            <v>9.77</v>
          </cell>
          <cell r="G6">
            <v>9.57</v>
          </cell>
          <cell r="H6">
            <v>9.77</v>
          </cell>
          <cell r="I6">
            <v>10.01</v>
          </cell>
          <cell r="J6">
            <v>10.37</v>
          </cell>
          <cell r="K6">
            <v>10.69</v>
          </cell>
          <cell r="L6">
            <v>11.29</v>
          </cell>
          <cell r="N6">
            <v>11.19</v>
          </cell>
          <cell r="O6">
            <v>10.96</v>
          </cell>
          <cell r="P6">
            <v>10.31</v>
          </cell>
          <cell r="Q6">
            <v>6.61</v>
          </cell>
          <cell r="R6">
            <v>7.8</v>
          </cell>
          <cell r="S6">
            <v>10.48</v>
          </cell>
          <cell r="T6">
            <v>14.94</v>
          </cell>
          <cell r="U6">
            <v>18.579999999999998</v>
          </cell>
        </row>
        <row r="7">
          <cell r="E7">
            <v>12.52</v>
          </cell>
          <cell r="F7">
            <v>11.85</v>
          </cell>
          <cell r="G7">
            <v>12.55</v>
          </cell>
          <cell r="H7">
            <v>13.4</v>
          </cell>
          <cell r="I7">
            <v>14.59</v>
          </cell>
          <cell r="J7">
            <v>15.94</v>
          </cell>
          <cell r="K7">
            <v>16.73</v>
          </cell>
          <cell r="L7">
            <v>17.48</v>
          </cell>
          <cell r="N7">
            <v>17.29</v>
          </cell>
          <cell r="O7">
            <v>16.96</v>
          </cell>
          <cell r="P7">
            <v>16.09</v>
          </cell>
          <cell r="Q7">
            <v>11.35</v>
          </cell>
          <cell r="R7">
            <v>13.15</v>
          </cell>
          <cell r="S7">
            <v>16.350000000000001</v>
          </cell>
          <cell r="T7">
            <v>21.52</v>
          </cell>
          <cell r="U7">
            <v>25.66</v>
          </cell>
        </row>
        <row r="8">
          <cell r="E8">
            <v>12.54</v>
          </cell>
          <cell r="F8">
            <v>12.5</v>
          </cell>
          <cell r="G8">
            <v>12.58</v>
          </cell>
          <cell r="H8">
            <v>12.58</v>
          </cell>
          <cell r="I8">
            <v>12.74</v>
          </cell>
          <cell r="J8">
            <v>13.07</v>
          </cell>
          <cell r="K8">
            <v>13.26</v>
          </cell>
          <cell r="L8">
            <v>13.58</v>
          </cell>
          <cell r="N8">
            <v>13.21</v>
          </cell>
          <cell r="O8">
            <v>12.6</v>
          </cell>
          <cell r="P8">
            <v>11.5</v>
          </cell>
          <cell r="Q8">
            <v>6.82</v>
          </cell>
          <cell r="R8">
            <v>8.14</v>
          </cell>
          <cell r="S8">
            <v>10.66</v>
          </cell>
          <cell r="T8">
            <v>14.85</v>
          </cell>
          <cell r="U8">
            <v>18.22</v>
          </cell>
        </row>
        <row r="9">
          <cell r="E9">
            <v>12.64</v>
          </cell>
          <cell r="F9">
            <v>12.38</v>
          </cell>
          <cell r="G9">
            <v>12.36</v>
          </cell>
          <cell r="H9">
            <v>12.37</v>
          </cell>
          <cell r="I9">
            <v>12.65</v>
          </cell>
          <cell r="J9">
            <v>13.18</v>
          </cell>
          <cell r="K9">
            <v>13.5</v>
          </cell>
          <cell r="L9">
            <v>14.09</v>
          </cell>
          <cell r="N9">
            <v>13.97</v>
          </cell>
          <cell r="O9">
            <v>13.69</v>
          </cell>
          <cell r="P9">
            <v>12.96</v>
          </cell>
          <cell r="Q9">
            <v>8.17</v>
          </cell>
          <cell r="R9">
            <v>9.32</v>
          </cell>
          <cell r="S9">
            <v>12.39</v>
          </cell>
          <cell r="T9">
            <v>17.04</v>
          </cell>
          <cell r="U9">
            <v>20.96</v>
          </cell>
        </row>
        <row r="10">
          <cell r="E10">
            <v>12.3</v>
          </cell>
          <cell r="F10">
            <v>12.2</v>
          </cell>
          <cell r="G10">
            <v>12.23</v>
          </cell>
          <cell r="H10">
            <v>11.91</v>
          </cell>
          <cell r="I10">
            <v>11.75</v>
          </cell>
          <cell r="J10">
            <v>11.84</v>
          </cell>
          <cell r="K10">
            <v>11.93</v>
          </cell>
          <cell r="L10">
            <v>11.95</v>
          </cell>
          <cell r="N10">
            <v>11.32</v>
          </cell>
          <cell r="O10">
            <v>10.61</v>
          </cell>
          <cell r="P10">
            <v>9.4700000000000006</v>
          </cell>
          <cell r="Q10">
            <v>5.57</v>
          </cell>
          <cell r="R10">
            <v>6.56</v>
          </cell>
          <cell r="S10">
            <v>8.6</v>
          </cell>
          <cell r="T10">
            <v>11.82</v>
          </cell>
          <cell r="U10">
            <v>14.19</v>
          </cell>
        </row>
        <row r="11">
          <cell r="E11">
            <v>11.94</v>
          </cell>
          <cell r="F11">
            <v>11.89</v>
          </cell>
          <cell r="G11">
            <v>11.8</v>
          </cell>
          <cell r="H11">
            <v>11.52</v>
          </cell>
          <cell r="I11">
            <v>11.33</v>
          </cell>
          <cell r="J11">
            <v>11.3</v>
          </cell>
          <cell r="K11">
            <v>11.4</v>
          </cell>
          <cell r="L11">
            <v>11.68</v>
          </cell>
          <cell r="N11">
            <v>11.4</v>
          </cell>
          <cell r="O11">
            <v>10.89</v>
          </cell>
          <cell r="P11">
            <v>9.94</v>
          </cell>
          <cell r="Q11">
            <v>6.41</v>
          </cell>
          <cell r="R11">
            <v>7.47</v>
          </cell>
          <cell r="S11">
            <v>10.01</v>
          </cell>
          <cell r="T11">
            <v>14.2</v>
          </cell>
          <cell r="U11">
            <v>17.46</v>
          </cell>
        </row>
        <row r="12">
          <cell r="E12">
            <v>12.91</v>
          </cell>
          <cell r="F12">
            <v>12.92</v>
          </cell>
          <cell r="G12">
            <v>13.32</v>
          </cell>
          <cell r="H12">
            <v>13.85</v>
          </cell>
          <cell r="I12">
            <v>14.26</v>
          </cell>
          <cell r="J12">
            <v>14.88</v>
          </cell>
          <cell r="K12">
            <v>14.82</v>
          </cell>
          <cell r="L12">
            <v>14.8</v>
          </cell>
          <cell r="N12">
            <v>14.16</v>
          </cell>
          <cell r="O12">
            <v>13.49</v>
          </cell>
          <cell r="P12">
            <v>12.5</v>
          </cell>
          <cell r="Q12">
            <v>8.91</v>
          </cell>
          <cell r="R12">
            <v>10.17</v>
          </cell>
          <cell r="S12">
            <v>12.79</v>
          </cell>
          <cell r="T12">
            <v>17.010000000000002</v>
          </cell>
        </row>
        <row r="13">
          <cell r="E13">
            <v>11.97</v>
          </cell>
          <cell r="F13">
            <v>11.82</v>
          </cell>
          <cell r="G13">
            <v>12.21</v>
          </cell>
          <cell r="H13">
            <v>12.7</v>
          </cell>
          <cell r="I13">
            <v>13.09</v>
          </cell>
          <cell r="J13">
            <v>13.59</v>
          </cell>
          <cell r="K13">
            <v>13.37</v>
          </cell>
          <cell r="L13">
            <v>13.07</v>
          </cell>
          <cell r="N13">
            <v>12.12</v>
          </cell>
          <cell r="O13">
            <v>11.1</v>
          </cell>
          <cell r="P13">
            <v>9.7899999999999991</v>
          </cell>
          <cell r="Q13">
            <v>5.0199999999999996</v>
          </cell>
          <cell r="R13">
            <v>6.06</v>
          </cell>
          <cell r="S13">
            <v>7.51</v>
          </cell>
          <cell r="T13">
            <v>10.14</v>
          </cell>
        </row>
        <row r="14">
          <cell r="E14">
            <v>12.29</v>
          </cell>
          <cell r="F14">
            <v>12.05</v>
          </cell>
          <cell r="G14">
            <v>12.36</v>
          </cell>
          <cell r="H14">
            <v>12.79</v>
          </cell>
          <cell r="I14">
            <v>13.16</v>
          </cell>
          <cell r="J14">
            <v>13.64</v>
          </cell>
          <cell r="K14">
            <v>13.5</v>
          </cell>
          <cell r="L14">
            <v>13.34</v>
          </cell>
          <cell r="N14">
            <v>12.59</v>
          </cell>
          <cell r="O14">
            <v>11.81</v>
          </cell>
          <cell r="P14">
            <v>10.7</v>
          </cell>
          <cell r="Q14">
            <v>6.8</v>
          </cell>
          <cell r="R14">
            <v>7.48</v>
          </cell>
          <cell r="S14">
            <v>8.84</v>
          </cell>
          <cell r="T14">
            <v>11.11</v>
          </cell>
        </row>
        <row r="15">
          <cell r="E15">
            <v>12.43</v>
          </cell>
          <cell r="F15">
            <v>12.18</v>
          </cell>
          <cell r="G15">
            <v>12.38</v>
          </cell>
          <cell r="H15">
            <v>12.65</v>
          </cell>
          <cell r="I15">
            <v>12.78</v>
          </cell>
          <cell r="J15">
            <v>13.01</v>
          </cell>
          <cell r="K15">
            <v>12.66</v>
          </cell>
          <cell r="L15">
            <v>12.33</v>
          </cell>
          <cell r="N15">
            <v>11.51</v>
          </cell>
          <cell r="O15">
            <v>10.56</v>
          </cell>
          <cell r="P15">
            <v>9.34</v>
          </cell>
          <cell r="Q15">
            <v>6.28</v>
          </cell>
          <cell r="R15">
            <v>7.63</v>
          </cell>
          <cell r="S15">
            <v>10.32</v>
          </cell>
          <cell r="T15">
            <v>14.14</v>
          </cell>
        </row>
        <row r="16">
          <cell r="E16">
            <v>12.52</v>
          </cell>
          <cell r="F16">
            <v>12.44</v>
          </cell>
          <cell r="G16">
            <v>12.6</v>
          </cell>
          <cell r="H16">
            <v>12.97</v>
          </cell>
          <cell r="I16">
            <v>13.14</v>
          </cell>
          <cell r="J16">
            <v>13.27</v>
          </cell>
          <cell r="K16">
            <v>13</v>
          </cell>
          <cell r="L16">
            <v>12.73</v>
          </cell>
          <cell r="N16">
            <v>11.87</v>
          </cell>
          <cell r="O16">
            <v>10.99</v>
          </cell>
          <cell r="P16">
            <v>9.9</v>
          </cell>
          <cell r="Q16">
            <v>7.66</v>
          </cell>
          <cell r="R16">
            <v>9.02</v>
          </cell>
          <cell r="S16">
            <v>10.89</v>
          </cell>
          <cell r="T16">
            <v>13.53</v>
          </cell>
        </row>
        <row r="17">
          <cell r="E17">
            <v>13.34</v>
          </cell>
          <cell r="F17">
            <v>13.1</v>
          </cell>
          <cell r="G17">
            <v>13.8</v>
          </cell>
          <cell r="H17">
            <v>14.65</v>
          </cell>
          <cell r="I17">
            <v>15.41</v>
          </cell>
          <cell r="J17">
            <v>16.28</v>
          </cell>
          <cell r="K17">
            <v>16.38</v>
          </cell>
          <cell r="L17">
            <v>16.43</v>
          </cell>
          <cell r="N17">
            <v>15.81</v>
          </cell>
          <cell r="O17">
            <v>15.08</v>
          </cell>
          <cell r="P17">
            <v>13.97</v>
          </cell>
          <cell r="Q17">
            <v>10.28</v>
          </cell>
          <cell r="R17">
            <v>11.49</v>
          </cell>
          <cell r="S17">
            <v>13.99</v>
          </cell>
          <cell r="T17">
            <v>17.59</v>
          </cell>
        </row>
        <row r="18">
          <cell r="E18">
            <v>12.35</v>
          </cell>
          <cell r="F18">
            <v>12.25</v>
          </cell>
          <cell r="G18">
            <v>12.33</v>
          </cell>
          <cell r="H18">
            <v>12.61</v>
          </cell>
          <cell r="I18">
            <v>12.8</v>
          </cell>
          <cell r="J18">
            <v>13.17</v>
          </cell>
          <cell r="K18">
            <v>13.15</v>
          </cell>
          <cell r="L18">
            <v>13.24</v>
          </cell>
          <cell r="N18">
            <v>12.88</v>
          </cell>
          <cell r="O18">
            <v>12.6</v>
          </cell>
          <cell r="P18">
            <v>11.94</v>
          </cell>
          <cell r="Q18">
            <v>9.4</v>
          </cell>
          <cell r="R18">
            <v>10.210000000000001</v>
          </cell>
          <cell r="S18">
            <v>11.89</v>
          </cell>
          <cell r="T18">
            <v>14.74</v>
          </cell>
        </row>
        <row r="19">
          <cell r="E19">
            <v>12.19</v>
          </cell>
          <cell r="F19">
            <v>12.13</v>
          </cell>
          <cell r="G19">
            <v>12.54</v>
          </cell>
          <cell r="H19">
            <v>13.03</v>
          </cell>
          <cell r="I19">
            <v>13.32</v>
          </cell>
          <cell r="J19">
            <v>13.74</v>
          </cell>
          <cell r="K19">
            <v>13.55</v>
          </cell>
          <cell r="L19">
            <v>13.18</v>
          </cell>
          <cell r="N19">
            <v>12.23</v>
          </cell>
          <cell r="O19">
            <v>11.09</v>
          </cell>
          <cell r="P19">
            <v>9.76</v>
          </cell>
          <cell r="Q19">
            <v>5.77</v>
          </cell>
          <cell r="R19">
            <v>6.84</v>
          </cell>
          <cell r="S19">
            <v>8.76</v>
          </cell>
          <cell r="T19">
            <v>11.59</v>
          </cell>
        </row>
        <row r="20">
          <cell r="E20">
            <v>13.37</v>
          </cell>
          <cell r="F20">
            <v>13.32</v>
          </cell>
          <cell r="G20">
            <v>13.94</v>
          </cell>
          <cell r="H20">
            <v>14.67</v>
          </cell>
          <cell r="I20">
            <v>15.32</v>
          </cell>
          <cell r="J20">
            <v>16.010000000000002</v>
          </cell>
          <cell r="K20">
            <v>15.86</v>
          </cell>
          <cell r="L20">
            <v>15.61</v>
          </cell>
          <cell r="N20">
            <v>14.62</v>
          </cell>
          <cell r="O20">
            <v>13.54</v>
          </cell>
          <cell r="P20">
            <v>12.27</v>
          </cell>
          <cell r="Q20">
            <v>8.8699999999999992</v>
          </cell>
          <cell r="R20">
            <v>10.23</v>
          </cell>
          <cell r="S20">
            <v>12.67</v>
          </cell>
          <cell r="T20">
            <v>16.21</v>
          </cell>
        </row>
        <row r="21">
          <cell r="E21">
            <v>11.52</v>
          </cell>
          <cell r="F21">
            <v>11.51</v>
          </cell>
          <cell r="G21">
            <v>11.35</v>
          </cell>
          <cell r="H21">
            <v>11.43</v>
          </cell>
          <cell r="I21">
            <v>11.53</v>
          </cell>
          <cell r="J21">
            <v>11.59</v>
          </cell>
          <cell r="K21">
            <v>12.11</v>
          </cell>
          <cell r="L21">
            <v>12.8</v>
          </cell>
          <cell r="N21">
            <v>12.44</v>
          </cell>
          <cell r="O21">
            <v>12.5</v>
          </cell>
          <cell r="P21">
            <v>12.29</v>
          </cell>
          <cell r="Q21">
            <v>10.69</v>
          </cell>
          <cell r="R21">
            <v>12.11</v>
          </cell>
          <cell r="S21">
            <v>13.1</v>
          </cell>
          <cell r="T21">
            <v>14.68</v>
          </cell>
        </row>
        <row r="22">
          <cell r="E22">
            <v>12.88</v>
          </cell>
          <cell r="F22">
            <v>12.95</v>
          </cell>
          <cell r="G22">
            <v>12.89</v>
          </cell>
          <cell r="H22">
            <v>12.96</v>
          </cell>
          <cell r="I22">
            <v>13.08</v>
          </cell>
          <cell r="J22">
            <v>13.38</v>
          </cell>
          <cell r="K22">
            <v>13.63</v>
          </cell>
          <cell r="L22">
            <v>13.82</v>
          </cell>
          <cell r="N22">
            <v>13.31</v>
          </cell>
          <cell r="O22">
            <v>12.78</v>
          </cell>
          <cell r="P22">
            <v>12.09</v>
          </cell>
          <cell r="Q22">
            <v>8</v>
          </cell>
          <cell r="R22">
            <v>9.17</v>
          </cell>
          <cell r="S22">
            <v>11.52</v>
          </cell>
          <cell r="T22">
            <v>14.5</v>
          </cell>
        </row>
        <row r="23">
          <cell r="E23">
            <v>12.2</v>
          </cell>
          <cell r="F23">
            <v>12.21</v>
          </cell>
          <cell r="G23">
            <v>12.04</v>
          </cell>
          <cell r="H23">
            <v>12.02</v>
          </cell>
          <cell r="I23">
            <v>12.08</v>
          </cell>
          <cell r="J23">
            <v>12.44</v>
          </cell>
          <cell r="K23">
            <v>12.94</v>
          </cell>
          <cell r="L23">
            <v>13.29</v>
          </cell>
          <cell r="N23">
            <v>12.96</v>
          </cell>
          <cell r="O23">
            <v>12.73</v>
          </cell>
          <cell r="P23">
            <v>12.35</v>
          </cell>
          <cell r="Q23">
            <v>9.3000000000000007</v>
          </cell>
          <cell r="R23">
            <v>10.9</v>
          </cell>
          <cell r="S23">
            <v>13.07</v>
          </cell>
          <cell r="T23">
            <v>16.36</v>
          </cell>
        </row>
        <row r="24">
          <cell r="E24">
            <v>12.1</v>
          </cell>
          <cell r="F24">
            <v>11.89</v>
          </cell>
          <cell r="G24">
            <v>12.04</v>
          </cell>
          <cell r="H24">
            <v>12.31</v>
          </cell>
          <cell r="I24">
            <v>12.56</v>
          </cell>
          <cell r="J24">
            <v>12.85</v>
          </cell>
          <cell r="K24">
            <v>12.81</v>
          </cell>
          <cell r="L24">
            <v>12.49</v>
          </cell>
          <cell r="N24">
            <v>11.63</v>
          </cell>
          <cell r="O24">
            <v>10.8</v>
          </cell>
          <cell r="P24">
            <v>9.85</v>
          </cell>
          <cell r="Q24">
            <v>4.63</v>
          </cell>
          <cell r="R24">
            <v>5.41</v>
          </cell>
          <cell r="S24">
            <v>6.44</v>
          </cell>
          <cell r="T24">
            <v>7.84</v>
          </cell>
        </row>
        <row r="25">
          <cell r="E25">
            <v>12.05</v>
          </cell>
          <cell r="F25">
            <v>12.18</v>
          </cell>
          <cell r="G25">
            <v>12.32</v>
          </cell>
          <cell r="H25">
            <v>12.59</v>
          </cell>
          <cell r="I25">
            <v>12.96</v>
          </cell>
          <cell r="J25">
            <v>13.56</v>
          </cell>
          <cell r="K25">
            <v>13.98</v>
          </cell>
          <cell r="L25">
            <v>14.19</v>
          </cell>
          <cell r="N25">
            <v>13.7</v>
          </cell>
          <cell r="O25">
            <v>13.21</v>
          </cell>
          <cell r="P25">
            <v>12.61</v>
          </cell>
          <cell r="Q25">
            <v>7.95</v>
          </cell>
          <cell r="R25">
            <v>9.01</v>
          </cell>
          <cell r="S25">
            <v>11.23</v>
          </cell>
          <cell r="T25">
            <v>14.29</v>
          </cell>
        </row>
        <row r="26">
          <cell r="E26">
            <v>10.94</v>
          </cell>
          <cell r="F26">
            <v>10.85</v>
          </cell>
          <cell r="G26">
            <v>10.79</v>
          </cell>
          <cell r="H26">
            <v>10.82</v>
          </cell>
          <cell r="I26">
            <v>11</v>
          </cell>
          <cell r="J26">
            <v>11.27</v>
          </cell>
          <cell r="K26">
            <v>11.48</v>
          </cell>
          <cell r="L26">
            <v>11.57</v>
          </cell>
          <cell r="N26">
            <v>11</v>
          </cell>
          <cell r="O26">
            <v>10.39</v>
          </cell>
          <cell r="P26">
            <v>9.7100000000000009</v>
          </cell>
          <cell r="Q26">
            <v>4.7300000000000004</v>
          </cell>
          <cell r="R26">
            <v>5.3</v>
          </cell>
          <cell r="S26">
            <v>6.24</v>
          </cell>
          <cell r="T26">
            <v>7.75</v>
          </cell>
        </row>
        <row r="27">
          <cell r="E27">
            <v>14.02</v>
          </cell>
          <cell r="F27">
            <v>14.08</v>
          </cell>
          <cell r="G27">
            <v>14.07</v>
          </cell>
          <cell r="H27">
            <v>14.15</v>
          </cell>
          <cell r="I27">
            <v>14.3</v>
          </cell>
          <cell r="J27">
            <v>14.51</v>
          </cell>
          <cell r="K27">
            <v>14.73</v>
          </cell>
          <cell r="L27">
            <v>14.76</v>
          </cell>
          <cell r="N27">
            <v>14.02</v>
          </cell>
          <cell r="O27">
            <v>13.19</v>
          </cell>
          <cell r="P27">
            <v>12.15</v>
          </cell>
          <cell r="Q27">
            <v>6.3</v>
          </cell>
          <cell r="R27">
            <v>7.03</v>
          </cell>
          <cell r="S27">
            <v>8.4700000000000006</v>
          </cell>
          <cell r="T27">
            <v>10.63</v>
          </cell>
        </row>
        <row r="28">
          <cell r="E28">
            <v>11.09</v>
          </cell>
          <cell r="F28">
            <v>11.07</v>
          </cell>
          <cell r="G28">
            <v>10.85</v>
          </cell>
          <cell r="H28">
            <v>10.79</v>
          </cell>
          <cell r="I28">
            <v>10.85</v>
          </cell>
          <cell r="J28">
            <v>11.06</v>
          </cell>
          <cell r="K28">
            <v>11.44</v>
          </cell>
          <cell r="L28">
            <v>11.72</v>
          </cell>
          <cell r="N28">
            <v>11.39</v>
          </cell>
          <cell r="O28">
            <v>11.14</v>
          </cell>
          <cell r="P28">
            <v>10.74</v>
          </cell>
          <cell r="Q28">
            <v>7.79</v>
          </cell>
          <cell r="R28">
            <v>9.1300000000000008</v>
          </cell>
          <cell r="S28">
            <v>10.79</v>
          </cell>
          <cell r="T28">
            <v>13.31</v>
          </cell>
        </row>
        <row r="29">
          <cell r="E29">
            <v>11.77</v>
          </cell>
          <cell r="F29">
            <v>11.55</v>
          </cell>
          <cell r="G29">
            <v>11.63</v>
          </cell>
          <cell r="H29">
            <v>11.81</v>
          </cell>
          <cell r="I29">
            <v>12.08</v>
          </cell>
          <cell r="J29">
            <v>12.43</v>
          </cell>
          <cell r="K29">
            <v>12.54</v>
          </cell>
          <cell r="L29">
            <v>12.63</v>
          </cell>
          <cell r="N29">
            <v>12.04</v>
          </cell>
          <cell r="O29">
            <v>11.77</v>
          </cell>
          <cell r="P29">
            <v>11.11</v>
          </cell>
          <cell r="Q29">
            <v>7.74</v>
          </cell>
          <cell r="R29">
            <v>8.9</v>
          </cell>
          <cell r="S29">
            <v>10.55</v>
          </cell>
          <cell r="T29">
            <v>13.04</v>
          </cell>
        </row>
        <row r="30">
          <cell r="E30">
            <v>12.4</v>
          </cell>
          <cell r="F30">
            <v>12.25</v>
          </cell>
          <cell r="G30">
            <v>11.93</v>
          </cell>
          <cell r="H30">
            <v>11.73</v>
          </cell>
          <cell r="I30">
            <v>11.55</v>
          </cell>
          <cell r="J30">
            <v>11.55</v>
          </cell>
          <cell r="K30">
            <v>11.68</v>
          </cell>
          <cell r="L30">
            <v>11.73</v>
          </cell>
          <cell r="N30">
            <v>11.2</v>
          </cell>
          <cell r="O30">
            <v>10.58</v>
          </cell>
          <cell r="P30">
            <v>10.29</v>
          </cell>
          <cell r="Q30">
            <v>7.06</v>
          </cell>
          <cell r="R30">
            <v>8.1199999999999992</v>
          </cell>
          <cell r="S30">
            <v>9.4499999999999993</v>
          </cell>
          <cell r="T30">
            <v>11.12</v>
          </cell>
        </row>
        <row r="31">
          <cell r="E31">
            <v>10.07</v>
          </cell>
          <cell r="F31">
            <v>9.93</v>
          </cell>
          <cell r="G31">
            <v>9.15</v>
          </cell>
          <cell r="H31">
            <v>10.119999999999999</v>
          </cell>
          <cell r="I31">
            <v>9.0299999999999994</v>
          </cell>
          <cell r="J31">
            <v>9.16</v>
          </cell>
          <cell r="K31">
            <v>9.09</v>
          </cell>
          <cell r="L31">
            <v>9</v>
          </cell>
          <cell r="N31">
            <v>8.39</v>
          </cell>
          <cell r="O31">
            <v>7.87</v>
          </cell>
          <cell r="P31">
            <v>7.19</v>
          </cell>
          <cell r="Q31">
            <v>3.51</v>
          </cell>
          <cell r="R31">
            <v>4.47</v>
          </cell>
          <cell r="S31">
            <v>5.78</v>
          </cell>
          <cell r="T31">
            <v>7.51</v>
          </cell>
        </row>
        <row r="32">
          <cell r="E32">
            <v>11.07</v>
          </cell>
          <cell r="F32">
            <v>11.04</v>
          </cell>
          <cell r="G32">
            <v>11.06</v>
          </cell>
          <cell r="H32">
            <v>11.12</v>
          </cell>
          <cell r="I32">
            <v>11.22</v>
          </cell>
          <cell r="J32">
            <v>11.46</v>
          </cell>
          <cell r="K32">
            <v>11.35</v>
          </cell>
          <cell r="L32">
            <v>11.14</v>
          </cell>
          <cell r="N32">
            <v>10.27</v>
          </cell>
          <cell r="O32">
            <v>9.35</v>
          </cell>
          <cell r="P32">
            <v>8.4499999999999993</v>
          </cell>
          <cell r="Q32">
            <v>4.41</v>
          </cell>
          <cell r="R32">
            <v>5.58</v>
          </cell>
          <cell r="S32">
            <v>7.47</v>
          </cell>
          <cell r="T32">
            <v>9.7100000000000009</v>
          </cell>
        </row>
        <row r="33">
          <cell r="E33">
            <v>11.06</v>
          </cell>
          <cell r="F33">
            <v>11.04</v>
          </cell>
          <cell r="G33">
            <v>11.09</v>
          </cell>
          <cell r="H33">
            <v>11.29</v>
          </cell>
          <cell r="I33">
            <v>11.53</v>
          </cell>
          <cell r="J33">
            <v>11.8</v>
          </cell>
          <cell r="K33">
            <v>11.86</v>
          </cell>
          <cell r="L33">
            <v>11.9</v>
          </cell>
          <cell r="N33">
            <v>11.28</v>
          </cell>
          <cell r="O33">
            <v>10.57</v>
          </cell>
          <cell r="P33">
            <v>9.92</v>
          </cell>
          <cell r="Q33">
            <v>5.95</v>
          </cell>
          <cell r="R33">
            <v>7.06</v>
          </cell>
          <cell r="S33">
            <v>8.5</v>
          </cell>
          <cell r="T33">
            <v>10.6</v>
          </cell>
        </row>
        <row r="34">
          <cell r="E34">
            <v>12.59</v>
          </cell>
          <cell r="F34">
            <v>11.4</v>
          </cell>
          <cell r="G34">
            <v>12.69</v>
          </cell>
          <cell r="H34">
            <v>13.87</v>
          </cell>
          <cell r="I34">
            <v>11.9</v>
          </cell>
          <cell r="J34">
            <v>12.18</v>
          </cell>
          <cell r="K34">
            <v>12.1</v>
          </cell>
          <cell r="L34">
            <v>11.8</v>
          </cell>
          <cell r="N34">
            <v>10.82</v>
          </cell>
          <cell r="O34">
            <v>10.02</v>
          </cell>
          <cell r="P34">
            <v>8.83</v>
          </cell>
          <cell r="Q34">
            <v>4.55</v>
          </cell>
          <cell r="R34">
            <v>5.6</v>
          </cell>
          <cell r="S34">
            <v>7.24</v>
          </cell>
          <cell r="T34">
            <v>9.18</v>
          </cell>
        </row>
        <row r="35">
          <cell r="E35">
            <v>21.64</v>
          </cell>
          <cell r="F35">
            <v>21.83</v>
          </cell>
          <cell r="G35">
            <v>22.34</v>
          </cell>
          <cell r="H35">
            <v>23.62</v>
          </cell>
          <cell r="I35">
            <v>24.94</v>
          </cell>
          <cell r="J35">
            <v>26.52</v>
          </cell>
          <cell r="K35">
            <v>28.02</v>
          </cell>
          <cell r="L35">
            <v>29.64</v>
          </cell>
          <cell r="N35">
            <v>30.42</v>
          </cell>
          <cell r="O35">
            <v>31.09</v>
          </cell>
          <cell r="P35">
            <v>30.71</v>
          </cell>
          <cell r="Q35">
            <v>27.89</v>
          </cell>
          <cell r="R35">
            <v>30.6</v>
          </cell>
          <cell r="S35">
            <v>34.799999999999997</v>
          </cell>
          <cell r="T35">
            <v>40.299999999999997</v>
          </cell>
        </row>
        <row r="36">
          <cell r="E36">
            <v>18.850000000000001</v>
          </cell>
          <cell r="F36">
            <v>17.190000000000001</v>
          </cell>
          <cell r="G36">
            <v>17.559999999999999</v>
          </cell>
          <cell r="H36">
            <v>18.63</v>
          </cell>
          <cell r="I36">
            <v>20</v>
          </cell>
          <cell r="J36">
            <v>21.67</v>
          </cell>
          <cell r="K36">
            <v>23.27</v>
          </cell>
          <cell r="L36">
            <v>25.4</v>
          </cell>
          <cell r="N36">
            <v>26.69</v>
          </cell>
          <cell r="O36">
            <v>30.77</v>
          </cell>
          <cell r="P36">
            <v>31.27</v>
          </cell>
          <cell r="Q36">
            <v>26.97</v>
          </cell>
          <cell r="R36">
            <v>29.78</v>
          </cell>
          <cell r="S36">
            <v>32.67</v>
          </cell>
          <cell r="T36">
            <v>36.909999999999997</v>
          </cell>
        </row>
        <row r="37">
          <cell r="E37">
            <v>20.43</v>
          </cell>
          <cell r="F37">
            <v>19.059999999999999</v>
          </cell>
          <cell r="G37">
            <v>19.940000000000001</v>
          </cell>
          <cell r="H37">
            <v>21.24</v>
          </cell>
          <cell r="I37">
            <v>22.9</v>
          </cell>
          <cell r="J37">
            <v>24.6</v>
          </cell>
          <cell r="K37">
            <v>25.81</v>
          </cell>
          <cell r="L37">
            <v>27.39</v>
          </cell>
          <cell r="N37">
            <v>28.29</v>
          </cell>
          <cell r="O37">
            <v>29.03</v>
          </cell>
          <cell r="P37">
            <v>28.57</v>
          </cell>
          <cell r="Q37">
            <v>26.57</v>
          </cell>
          <cell r="R37">
            <v>29.44</v>
          </cell>
          <cell r="S37">
            <v>33.229999999999997</v>
          </cell>
          <cell r="T37">
            <v>38.69</v>
          </cell>
        </row>
        <row r="38">
          <cell r="E38">
            <v>18.59</v>
          </cell>
          <cell r="F38">
            <v>18.059999999999999</v>
          </cell>
          <cell r="G38">
            <v>18.329999999999998</v>
          </cell>
          <cell r="H38">
            <v>19.28</v>
          </cell>
          <cell r="I38">
            <v>20.59</v>
          </cell>
          <cell r="J38">
            <v>22.19</v>
          </cell>
          <cell r="K38">
            <v>23.59</v>
          </cell>
          <cell r="L38">
            <v>25.12</v>
          </cell>
          <cell r="N38">
            <v>26.16</v>
          </cell>
          <cell r="O38">
            <v>26.96</v>
          </cell>
          <cell r="P38">
            <v>27.09</v>
          </cell>
          <cell r="Q38">
            <v>25.46</v>
          </cell>
          <cell r="R38">
            <v>28.06</v>
          </cell>
          <cell r="S38">
            <v>31.03</v>
          </cell>
          <cell r="T38">
            <v>35.42</v>
          </cell>
        </row>
        <row r="39">
          <cell r="E39">
            <v>14.65</v>
          </cell>
          <cell r="F39">
            <v>13.94</v>
          </cell>
          <cell r="G39">
            <v>14.01</v>
          </cell>
          <cell r="H39">
            <v>14.65</v>
          </cell>
          <cell r="I39">
            <v>15.62</v>
          </cell>
          <cell r="J39">
            <v>16.82</v>
          </cell>
          <cell r="K39">
            <v>18.05</v>
          </cell>
          <cell r="L39">
            <v>19.47</v>
          </cell>
          <cell r="N39">
            <v>20.239999999999998</v>
          </cell>
          <cell r="O39">
            <v>20.83</v>
          </cell>
          <cell r="P39">
            <v>20.91</v>
          </cell>
          <cell r="Q39">
            <v>9.18</v>
          </cell>
          <cell r="R39">
            <v>10.34</v>
          </cell>
          <cell r="S39">
            <v>11.76</v>
          </cell>
          <cell r="T39">
            <v>13.86</v>
          </cell>
        </row>
        <row r="40">
          <cell r="E40">
            <v>19.43</v>
          </cell>
          <cell r="F40">
            <v>18.29</v>
          </cell>
          <cell r="G40">
            <v>18.579999999999998</v>
          </cell>
          <cell r="H40">
            <v>19.739999999999998</v>
          </cell>
          <cell r="I40">
            <v>21.25</v>
          </cell>
          <cell r="J40">
            <v>23.03</v>
          </cell>
          <cell r="K40">
            <v>24.84</v>
          </cell>
          <cell r="L40">
            <v>27.17</v>
          </cell>
          <cell r="N40">
            <v>28.84</v>
          </cell>
          <cell r="O40">
            <v>30.61</v>
          </cell>
          <cell r="P40">
            <v>31.39</v>
          </cell>
          <cell r="Q40">
            <v>29.84</v>
          </cell>
          <cell r="R40">
            <v>32.21</v>
          </cell>
          <cell r="S40">
            <v>34.479999999999997</v>
          </cell>
          <cell r="T40">
            <v>37.1</v>
          </cell>
        </row>
        <row r="41">
          <cell r="E41">
            <v>13.75</v>
          </cell>
          <cell r="F41">
            <v>13.17</v>
          </cell>
          <cell r="G41">
            <v>14.03</v>
          </cell>
          <cell r="H41">
            <v>15.18</v>
          </cell>
          <cell r="I41">
            <v>16.68</v>
          </cell>
          <cell r="J41">
            <v>18.260000000000002</v>
          </cell>
          <cell r="K41">
            <v>19.59</v>
          </cell>
          <cell r="L41">
            <v>21.05</v>
          </cell>
          <cell r="N41">
            <v>21.75</v>
          </cell>
          <cell r="O41">
            <v>22.27</v>
          </cell>
          <cell r="P41">
            <v>21.54</v>
          </cell>
          <cell r="Q41">
            <v>15.69</v>
          </cell>
          <cell r="R41">
            <v>17.2</v>
          </cell>
          <cell r="S41">
            <v>19.670000000000002</v>
          </cell>
          <cell r="T41">
            <v>24.02</v>
          </cell>
        </row>
        <row r="42">
          <cell r="E42">
            <v>20.29</v>
          </cell>
          <cell r="F42">
            <v>19.09</v>
          </cell>
          <cell r="G42">
            <v>20.16</v>
          </cell>
          <cell r="H42">
            <v>21.6</v>
          </cell>
          <cell r="I42">
            <v>23.41</v>
          </cell>
          <cell r="J42">
            <v>25.66</v>
          </cell>
          <cell r="K42">
            <v>27.45</v>
          </cell>
          <cell r="L42">
            <v>29.02</v>
          </cell>
          <cell r="N42">
            <v>30.07</v>
          </cell>
          <cell r="O42">
            <v>31.02</v>
          </cell>
          <cell r="P42">
            <v>30.76</v>
          </cell>
          <cell r="Q42">
            <v>29.95</v>
          </cell>
          <cell r="R42">
            <v>32.99</v>
          </cell>
          <cell r="S42">
            <v>37.15</v>
          </cell>
          <cell r="T42">
            <v>42.44</v>
          </cell>
        </row>
        <row r="43">
          <cell r="E43">
            <v>11.14</v>
          </cell>
          <cell r="F43">
            <v>10.98</v>
          </cell>
          <cell r="G43">
            <v>10.71</v>
          </cell>
          <cell r="H43">
            <v>10.74</v>
          </cell>
          <cell r="I43">
            <v>11.43</v>
          </cell>
          <cell r="J43">
            <v>11.91</v>
          </cell>
          <cell r="K43">
            <v>12.39</v>
          </cell>
          <cell r="L43">
            <v>13.14</v>
          </cell>
          <cell r="N43">
            <v>13.36</v>
          </cell>
          <cell r="O43">
            <v>13.55</v>
          </cell>
          <cell r="P43">
            <v>13.31</v>
          </cell>
          <cell r="Q43">
            <v>9.73</v>
          </cell>
          <cell r="R43">
            <v>11.23</v>
          </cell>
          <cell r="S43">
            <v>13.42</v>
          </cell>
          <cell r="T43">
            <v>17.23</v>
          </cell>
        </row>
        <row r="44">
          <cell r="E44">
            <v>18.850000000000001</v>
          </cell>
          <cell r="F44">
            <v>18.260000000000002</v>
          </cell>
          <cell r="G44">
            <v>18.579999999999998</v>
          </cell>
          <cell r="H44">
            <v>19.27</v>
          </cell>
          <cell r="I44">
            <v>20.58</v>
          </cell>
          <cell r="J44">
            <v>21.8</v>
          </cell>
          <cell r="K44">
            <v>22.89</v>
          </cell>
          <cell r="L44">
            <v>23.99</v>
          </cell>
          <cell r="N44">
            <v>24.31</v>
          </cell>
          <cell r="O44">
            <v>24.39</v>
          </cell>
          <cell r="P44">
            <v>23.67</v>
          </cell>
          <cell r="Q44">
            <v>19.059999999999999</v>
          </cell>
          <cell r="R44">
            <v>21.44</v>
          </cell>
          <cell r="S44">
            <v>25.08</v>
          </cell>
          <cell r="T44">
            <v>30.9</v>
          </cell>
        </row>
        <row r="45">
          <cell r="E45">
            <v>23.21</v>
          </cell>
          <cell r="F45">
            <v>23.17</v>
          </cell>
          <cell r="G45">
            <v>23.57</v>
          </cell>
          <cell r="H45">
            <v>24.6</v>
          </cell>
          <cell r="I45">
            <v>25.72</v>
          </cell>
          <cell r="J45">
            <v>26.92</v>
          </cell>
          <cell r="K45">
            <v>27.97</v>
          </cell>
          <cell r="L45">
            <v>29.27</v>
          </cell>
          <cell r="N45">
            <v>30.12</v>
          </cell>
          <cell r="O45">
            <v>30.37</v>
          </cell>
          <cell r="P45">
            <v>29.71</v>
          </cell>
          <cell r="Q45">
            <v>27.01</v>
          </cell>
          <cell r="R45">
            <v>30.35</v>
          </cell>
          <cell r="S45">
            <v>35.42</v>
          </cell>
          <cell r="T45">
            <v>41.76</v>
          </cell>
        </row>
        <row r="46">
          <cell r="E46">
            <v>16.29</v>
          </cell>
          <cell r="F46">
            <v>15.89</v>
          </cell>
          <cell r="G46">
            <v>15.99</v>
          </cell>
          <cell r="H46">
            <v>16.66</v>
          </cell>
          <cell r="I46">
            <v>17.86</v>
          </cell>
          <cell r="J46">
            <v>19.21</v>
          </cell>
          <cell r="K46">
            <v>20.84</v>
          </cell>
          <cell r="L46">
            <v>22.37</v>
          </cell>
          <cell r="N46">
            <v>23.96</v>
          </cell>
          <cell r="O46">
            <v>25.23</v>
          </cell>
          <cell r="P46">
            <v>25.71</v>
          </cell>
          <cell r="Q46">
            <v>24.6</v>
          </cell>
          <cell r="R46">
            <v>26.59</v>
          </cell>
          <cell r="S46">
            <v>28.75</v>
          </cell>
          <cell r="T46">
            <v>32.44</v>
          </cell>
        </row>
        <row r="47">
          <cell r="E47">
            <v>19.75</v>
          </cell>
          <cell r="F47">
            <v>19</v>
          </cell>
          <cell r="G47">
            <v>19</v>
          </cell>
          <cell r="H47">
            <v>19.78</v>
          </cell>
          <cell r="I47">
            <v>21.24</v>
          </cell>
          <cell r="J47">
            <v>22.94</v>
          </cell>
          <cell r="K47">
            <v>24.76</v>
          </cell>
          <cell r="L47">
            <v>27.01</v>
          </cell>
          <cell r="N47">
            <v>28.54</v>
          </cell>
          <cell r="O47">
            <v>30.22</v>
          </cell>
          <cell r="P47">
            <v>30.74</v>
          </cell>
          <cell r="Q47">
            <v>29.38</v>
          </cell>
          <cell r="R47">
            <v>32.69</v>
          </cell>
          <cell r="S47">
            <v>37.11</v>
          </cell>
          <cell r="T47">
            <v>40.72</v>
          </cell>
        </row>
        <row r="48">
          <cell r="E48">
            <v>9.7100000000000009</v>
          </cell>
          <cell r="F48">
            <v>9.7200000000000006</v>
          </cell>
          <cell r="G48">
            <v>9.35</v>
          </cell>
          <cell r="H48">
            <v>9.8800000000000008</v>
          </cell>
          <cell r="I48">
            <v>10.34</v>
          </cell>
          <cell r="J48">
            <v>11.03</v>
          </cell>
          <cell r="K48">
            <v>11.68</v>
          </cell>
          <cell r="L48">
            <v>12.25</v>
          </cell>
          <cell r="N48">
            <v>12.25</v>
          </cell>
          <cell r="O48">
            <v>12.39</v>
          </cell>
          <cell r="P48">
            <v>12.09</v>
          </cell>
          <cell r="Q48">
            <v>9.24</v>
          </cell>
          <cell r="R48">
            <v>10.92</v>
          </cell>
          <cell r="S48">
            <v>13.02</v>
          </cell>
          <cell r="T48">
            <v>16.25</v>
          </cell>
        </row>
        <row r="49">
          <cell r="E49">
            <v>15.15</v>
          </cell>
          <cell r="F49">
            <v>14.96</v>
          </cell>
          <cell r="G49">
            <v>14.08</v>
          </cell>
          <cell r="H49">
            <v>13.96</v>
          </cell>
          <cell r="I49">
            <v>14.34</v>
          </cell>
          <cell r="J49">
            <v>15.11</v>
          </cell>
          <cell r="K49">
            <v>16.850000000000001</v>
          </cell>
          <cell r="L49">
            <v>18.73</v>
          </cell>
          <cell r="N49">
            <v>20.100000000000001</v>
          </cell>
          <cell r="O49">
            <v>21.63</v>
          </cell>
          <cell r="P49">
            <v>22.34</v>
          </cell>
          <cell r="Q49">
            <v>21.34</v>
          </cell>
          <cell r="R49">
            <v>23.31</v>
          </cell>
          <cell r="S49">
            <v>25.2</v>
          </cell>
          <cell r="T49">
            <v>28.25</v>
          </cell>
        </row>
        <row r="50">
          <cell r="E50">
            <v>15.42</v>
          </cell>
          <cell r="F50">
            <v>14.58</v>
          </cell>
          <cell r="G50">
            <v>14.81</v>
          </cell>
          <cell r="H50">
            <v>15.76</v>
          </cell>
          <cell r="I50">
            <v>17.28</v>
          </cell>
          <cell r="J50">
            <v>19.14</v>
          </cell>
          <cell r="K50">
            <v>21.22</v>
          </cell>
          <cell r="L50">
            <v>23.62</v>
          </cell>
          <cell r="N50">
            <v>25.47</v>
          </cell>
          <cell r="O50">
            <v>27.4</v>
          </cell>
          <cell r="P50">
            <v>28.23</v>
          </cell>
          <cell r="Q50">
            <v>27.63</v>
          </cell>
          <cell r="R50">
            <v>29.65</v>
          </cell>
          <cell r="S50">
            <v>31.82</v>
          </cell>
          <cell r="T50">
            <v>36.25</v>
          </cell>
        </row>
        <row r="51">
          <cell r="E51">
            <v>21.1</v>
          </cell>
          <cell r="F51">
            <v>20.64</v>
          </cell>
          <cell r="G51">
            <v>21.28</v>
          </cell>
          <cell r="H51">
            <v>22.42</v>
          </cell>
          <cell r="I51">
            <v>23.79</v>
          </cell>
          <cell r="J51">
            <v>25.33</v>
          </cell>
          <cell r="K51">
            <v>26.64</v>
          </cell>
          <cell r="L51">
            <v>28.02</v>
          </cell>
          <cell r="N51">
            <v>28.74</v>
          </cell>
          <cell r="O51">
            <v>29.35</v>
          </cell>
          <cell r="P51">
            <v>28.72</v>
          </cell>
          <cell r="Q51">
            <v>25.71</v>
          </cell>
          <cell r="R51">
            <v>28.23</v>
          </cell>
          <cell r="S51">
            <v>31.03</v>
          </cell>
          <cell r="T51">
            <v>34.1</v>
          </cell>
        </row>
        <row r="52">
          <cell r="E52">
            <v>20.76</v>
          </cell>
          <cell r="F52">
            <v>20.21</v>
          </cell>
          <cell r="G52">
            <v>20.56</v>
          </cell>
          <cell r="H52">
            <v>21.32</v>
          </cell>
          <cell r="I52">
            <v>22.53</v>
          </cell>
          <cell r="J52">
            <v>24.06</v>
          </cell>
          <cell r="K52">
            <v>25.29</v>
          </cell>
          <cell r="L52">
            <v>26.9</v>
          </cell>
          <cell r="N52">
            <v>27.91</v>
          </cell>
          <cell r="O52">
            <v>28.96</v>
          </cell>
          <cell r="P52">
            <v>28.9</v>
          </cell>
          <cell r="Q52">
            <v>26.78</v>
          </cell>
          <cell r="R52">
            <v>29.08</v>
          </cell>
          <cell r="S52">
            <v>31.27</v>
          </cell>
          <cell r="T52">
            <v>34.68</v>
          </cell>
        </row>
        <row r="53">
          <cell r="E53">
            <v>18.53</v>
          </cell>
          <cell r="F53">
            <v>18.16</v>
          </cell>
          <cell r="G53">
            <v>18.02</v>
          </cell>
          <cell r="H53">
            <v>18.73</v>
          </cell>
          <cell r="I53">
            <v>19.940000000000001</v>
          </cell>
          <cell r="J53">
            <v>21.43</v>
          </cell>
          <cell r="K53">
            <v>23.14</v>
          </cell>
          <cell r="L53">
            <v>24.81</v>
          </cell>
          <cell r="N53">
            <v>26.08</v>
          </cell>
          <cell r="O53">
            <v>27.38</v>
          </cell>
          <cell r="P53">
            <v>27.97</v>
          </cell>
          <cell r="Q53">
            <v>26.73</v>
          </cell>
          <cell r="R53">
            <v>28.83</v>
          </cell>
          <cell r="S53">
            <v>31.57</v>
          </cell>
          <cell r="T53">
            <v>34.799999999999997</v>
          </cell>
        </row>
        <row r="54">
          <cell r="E54">
            <v>11.28</v>
          </cell>
          <cell r="F54">
            <v>11.27</v>
          </cell>
          <cell r="G54">
            <v>10.86</v>
          </cell>
          <cell r="H54">
            <v>10.82</v>
          </cell>
          <cell r="I54">
            <v>11.04</v>
          </cell>
          <cell r="J54">
            <v>11.24</v>
          </cell>
          <cell r="K54">
            <v>11.8</v>
          </cell>
          <cell r="L54">
            <v>12.25</v>
          </cell>
          <cell r="N54">
            <v>12.16</v>
          </cell>
          <cell r="O54">
            <v>12.11</v>
          </cell>
          <cell r="P54">
            <v>11.64</v>
          </cell>
          <cell r="Q54">
            <v>8.99</v>
          </cell>
          <cell r="R54">
            <v>10.86</v>
          </cell>
          <cell r="S54">
            <v>13.33</v>
          </cell>
          <cell r="T54">
            <v>16.86</v>
          </cell>
        </row>
        <row r="55">
          <cell r="E55">
            <v>12.91</v>
          </cell>
          <cell r="F55">
            <v>12.84</v>
          </cell>
          <cell r="G55">
            <v>12.07</v>
          </cell>
          <cell r="H55">
            <v>11.78</v>
          </cell>
          <cell r="I55">
            <v>12.14</v>
          </cell>
          <cell r="J55">
            <v>12.47</v>
          </cell>
          <cell r="K55">
            <v>13.44</v>
          </cell>
          <cell r="L55">
            <v>14.8</v>
          </cell>
          <cell r="N55">
            <v>15.34</v>
          </cell>
          <cell r="O55">
            <v>16.329999999999998</v>
          </cell>
          <cell r="P55">
            <v>16.02</v>
          </cell>
          <cell r="Q55">
            <v>14.83</v>
          </cell>
          <cell r="R55">
            <v>16.79</v>
          </cell>
          <cell r="S55">
            <v>19.059999999999999</v>
          </cell>
          <cell r="T55">
            <v>22.98</v>
          </cell>
        </row>
        <row r="56">
          <cell r="E56">
            <v>18.39</v>
          </cell>
          <cell r="F56">
            <v>18.53</v>
          </cell>
          <cell r="G56">
            <v>18.239999999999998</v>
          </cell>
          <cell r="H56">
            <v>18.71</v>
          </cell>
          <cell r="I56">
            <v>19.760000000000002</v>
          </cell>
          <cell r="J56">
            <v>21.02</v>
          </cell>
          <cell r="K56">
            <v>22.65</v>
          </cell>
          <cell r="L56">
            <v>24.85</v>
          </cell>
          <cell r="N56">
            <v>26.42</v>
          </cell>
          <cell r="O56">
            <v>28.18</v>
          </cell>
          <cell r="P56">
            <v>29.06</v>
          </cell>
          <cell r="Q56">
            <v>28</v>
          </cell>
          <cell r="R56">
            <v>30.26</v>
          </cell>
          <cell r="S56">
            <v>32.51</v>
          </cell>
          <cell r="T56">
            <v>35.5</v>
          </cell>
        </row>
        <row r="57">
          <cell r="E57">
            <v>16.54</v>
          </cell>
          <cell r="F57">
            <v>15.77</v>
          </cell>
          <cell r="G57">
            <v>15.17</v>
          </cell>
          <cell r="H57">
            <v>14.94</v>
          </cell>
          <cell r="I57">
            <v>15.21</v>
          </cell>
          <cell r="J57">
            <v>15.67</v>
          </cell>
          <cell r="K57">
            <v>16.690000000000001</v>
          </cell>
          <cell r="L57">
            <v>17.62</v>
          </cell>
          <cell r="N57">
            <v>18.16</v>
          </cell>
          <cell r="O57">
            <v>18.760000000000002</v>
          </cell>
          <cell r="P57">
            <v>18.670000000000002</v>
          </cell>
          <cell r="Q57">
            <v>15.84</v>
          </cell>
          <cell r="R57">
            <v>17.32</v>
          </cell>
          <cell r="S57">
            <v>17.829999999999998</v>
          </cell>
          <cell r="T57">
            <v>19.82</v>
          </cell>
        </row>
        <row r="58">
          <cell r="E58">
            <v>10.58</v>
          </cell>
          <cell r="F58">
            <v>11.04</v>
          </cell>
          <cell r="G58">
            <v>10.54</v>
          </cell>
          <cell r="H58">
            <v>10.4</v>
          </cell>
          <cell r="I58">
            <v>10.36</v>
          </cell>
          <cell r="J58">
            <v>10.54</v>
          </cell>
          <cell r="K58">
            <v>11.17</v>
          </cell>
          <cell r="L58">
            <v>11.67</v>
          </cell>
          <cell r="N58">
            <v>11.6</v>
          </cell>
          <cell r="O58">
            <v>12.06</v>
          </cell>
          <cell r="P58">
            <v>12.06</v>
          </cell>
          <cell r="Q58">
            <v>5.53</v>
          </cell>
          <cell r="R58">
            <v>6.66</v>
          </cell>
          <cell r="S58">
            <v>7.25</v>
          </cell>
          <cell r="T58">
            <v>7.96</v>
          </cell>
        </row>
        <row r="59">
          <cell r="E59">
            <v>11.88</v>
          </cell>
          <cell r="F59">
            <v>11.82</v>
          </cell>
          <cell r="G59">
            <v>11.45</v>
          </cell>
          <cell r="H59">
            <v>11.24</v>
          </cell>
          <cell r="I59">
            <v>11.44</v>
          </cell>
          <cell r="J59">
            <v>11.79</v>
          </cell>
          <cell r="K59">
            <v>12.66</v>
          </cell>
          <cell r="L59">
            <v>13.36</v>
          </cell>
          <cell r="N59">
            <v>13.5</v>
          </cell>
          <cell r="O59">
            <v>13.79</v>
          </cell>
          <cell r="P59">
            <v>13.51</v>
          </cell>
          <cell r="Q59">
            <v>5.01</v>
          </cell>
          <cell r="R59">
            <v>5.64</v>
          </cell>
          <cell r="S59">
            <v>6.39</v>
          </cell>
          <cell r="T59">
            <v>7.72</v>
          </cell>
        </row>
        <row r="60">
          <cell r="E60">
            <v>19.34</v>
          </cell>
          <cell r="F60">
            <v>19.2</v>
          </cell>
          <cell r="G60">
            <v>18.5</v>
          </cell>
          <cell r="H60">
            <v>18.18</v>
          </cell>
          <cell r="I60">
            <v>18.27</v>
          </cell>
          <cell r="J60">
            <v>18.559999999999999</v>
          </cell>
          <cell r="K60">
            <v>19.5</v>
          </cell>
          <cell r="L60">
            <v>20.260000000000002</v>
          </cell>
          <cell r="N60">
            <v>20.56</v>
          </cell>
          <cell r="O60">
            <v>20.87</v>
          </cell>
          <cell r="P60">
            <v>20.69</v>
          </cell>
          <cell r="Q60">
            <v>8.3000000000000007</v>
          </cell>
          <cell r="R60">
            <v>8.84</v>
          </cell>
          <cell r="S60">
            <v>9.02</v>
          </cell>
          <cell r="T60">
            <v>9.76</v>
          </cell>
        </row>
        <row r="61">
          <cell r="E61">
            <v>21.89</v>
          </cell>
          <cell r="F61">
            <v>21.24</v>
          </cell>
          <cell r="G61">
            <v>21.76</v>
          </cell>
          <cell r="H61">
            <v>22.65</v>
          </cell>
          <cell r="I61">
            <v>23.97</v>
          </cell>
          <cell r="J61">
            <v>25.28</v>
          </cell>
          <cell r="K61">
            <v>26.41</v>
          </cell>
          <cell r="L61">
            <v>27.31</v>
          </cell>
          <cell r="N61">
            <v>27.59</v>
          </cell>
          <cell r="O61">
            <v>27.81</v>
          </cell>
          <cell r="P61">
            <v>27.05</v>
          </cell>
          <cell r="Q61">
            <v>11.29</v>
          </cell>
          <cell r="R61">
            <v>12.61</v>
          </cell>
          <cell r="S61">
            <v>14.05</v>
          </cell>
          <cell r="T61">
            <v>16.350000000000001</v>
          </cell>
        </row>
        <row r="62">
          <cell r="E62">
            <v>19.07</v>
          </cell>
          <cell r="F62">
            <v>18.420000000000002</v>
          </cell>
          <cell r="G62">
            <v>17.93</v>
          </cell>
          <cell r="H62">
            <v>17.95</v>
          </cell>
          <cell r="I62">
            <v>18.399999999999999</v>
          </cell>
          <cell r="J62">
            <v>19.02</v>
          </cell>
          <cell r="K62">
            <v>20.23</v>
          </cell>
          <cell r="L62">
            <v>21.27</v>
          </cell>
          <cell r="N62">
            <v>21.83</v>
          </cell>
          <cell r="O62">
            <v>22.34</v>
          </cell>
          <cell r="P62">
            <v>21.59</v>
          </cell>
          <cell r="Q62">
            <v>8.18</v>
          </cell>
          <cell r="R62">
            <v>8.8000000000000007</v>
          </cell>
          <cell r="S62">
            <v>9.15</v>
          </cell>
          <cell r="T62">
            <v>10.5</v>
          </cell>
        </row>
        <row r="63">
          <cell r="E63">
            <v>10.58</v>
          </cell>
          <cell r="F63">
            <v>10.66</v>
          </cell>
          <cell r="G63">
            <v>10.25</v>
          </cell>
          <cell r="H63">
            <v>10.130000000000001</v>
          </cell>
          <cell r="I63">
            <v>10.38</v>
          </cell>
          <cell r="J63">
            <v>10.88</v>
          </cell>
          <cell r="K63">
            <v>11.78</v>
          </cell>
          <cell r="L63">
            <v>12.5</v>
          </cell>
          <cell r="N63">
            <v>12.72</v>
          </cell>
          <cell r="O63">
            <v>13.09</v>
          </cell>
          <cell r="P63">
            <v>12.93</v>
          </cell>
          <cell r="Q63">
            <v>4.9800000000000004</v>
          </cell>
          <cell r="R63">
            <v>5.82</v>
          </cell>
          <cell r="S63">
            <v>6.56</v>
          </cell>
          <cell r="T63">
            <v>7.87</v>
          </cell>
        </row>
        <row r="64">
          <cell r="E64">
            <v>11.89</v>
          </cell>
          <cell r="F64">
            <v>11.86</v>
          </cell>
          <cell r="G64">
            <v>11.64</v>
          </cell>
          <cell r="H64">
            <v>11.87</v>
          </cell>
          <cell r="I64">
            <v>12.58</v>
          </cell>
          <cell r="J64">
            <v>13.42</v>
          </cell>
          <cell r="K64">
            <v>15.03</v>
          </cell>
          <cell r="L64">
            <v>16.53</v>
          </cell>
          <cell r="N64">
            <v>17.61</v>
          </cell>
          <cell r="O64">
            <v>18.63</v>
          </cell>
          <cell r="P64">
            <v>18.670000000000002</v>
          </cell>
          <cell r="Q64">
            <v>9.8000000000000007</v>
          </cell>
          <cell r="R64">
            <v>10.75</v>
          </cell>
          <cell r="S64">
            <v>12.13</v>
          </cell>
          <cell r="T64">
            <v>14.25</v>
          </cell>
        </row>
        <row r="65">
          <cell r="E65">
            <v>15.9</v>
          </cell>
          <cell r="F65">
            <v>15.42</v>
          </cell>
          <cell r="G65">
            <v>15</v>
          </cell>
          <cell r="H65">
            <v>14.93</v>
          </cell>
          <cell r="I65">
            <v>15.37</v>
          </cell>
          <cell r="J65">
            <v>16.03</v>
          </cell>
          <cell r="K65">
            <v>17.170000000000002</v>
          </cell>
          <cell r="L65">
            <v>18.09</v>
          </cell>
          <cell r="N65">
            <v>18.55</v>
          </cell>
          <cell r="O65">
            <v>19.2</v>
          </cell>
          <cell r="P65">
            <v>19.510000000000002</v>
          </cell>
          <cell r="Q65">
            <v>10.45</v>
          </cell>
          <cell r="R65">
            <v>11.67</v>
          </cell>
          <cell r="S65">
            <v>12.49</v>
          </cell>
          <cell r="T65">
            <v>14.24</v>
          </cell>
        </row>
        <row r="66">
          <cell r="E66">
            <v>20.56</v>
          </cell>
          <cell r="F66">
            <v>20.52</v>
          </cell>
          <cell r="G66">
            <v>20.5</v>
          </cell>
          <cell r="H66">
            <v>21.03</v>
          </cell>
          <cell r="I66">
            <v>21.99</v>
          </cell>
          <cell r="J66">
            <v>22.72</v>
          </cell>
          <cell r="K66">
            <v>24.03</v>
          </cell>
          <cell r="L66">
            <v>23.43</v>
          </cell>
          <cell r="N66">
            <v>24.03</v>
          </cell>
          <cell r="O66">
            <v>24.88</v>
          </cell>
          <cell r="P66">
            <v>24.81</v>
          </cell>
          <cell r="Q66">
            <v>10.55</v>
          </cell>
          <cell r="R66">
            <v>11.32</v>
          </cell>
          <cell r="S66">
            <v>12.18</v>
          </cell>
          <cell r="T66">
            <v>13.53</v>
          </cell>
        </row>
        <row r="67">
          <cell r="E67">
            <v>20.32</v>
          </cell>
          <cell r="F67">
            <v>20.34</v>
          </cell>
          <cell r="G67">
            <v>20.440000000000001</v>
          </cell>
          <cell r="H67">
            <v>21</v>
          </cell>
          <cell r="I67">
            <v>22.13</v>
          </cell>
          <cell r="J67">
            <v>22.98</v>
          </cell>
          <cell r="K67">
            <v>24.44</v>
          </cell>
          <cell r="L67">
            <v>25.76</v>
          </cell>
          <cell r="N67">
            <v>26.49</v>
          </cell>
          <cell r="O67">
            <v>27.06</v>
          </cell>
          <cell r="P67">
            <v>26.77</v>
          </cell>
          <cell r="Q67">
            <v>10.53</v>
          </cell>
          <cell r="R67">
            <v>11.19</v>
          </cell>
          <cell r="S67">
            <v>11.89</v>
          </cell>
          <cell r="T67">
            <v>13</v>
          </cell>
        </row>
        <row r="68">
          <cell r="E68">
            <v>16.29</v>
          </cell>
          <cell r="F68">
            <v>16.29</v>
          </cell>
          <cell r="G68">
            <v>16.03</v>
          </cell>
          <cell r="H68">
            <v>16.239999999999998</v>
          </cell>
          <cell r="I68">
            <v>16.93</v>
          </cell>
          <cell r="J68">
            <v>17.899999999999999</v>
          </cell>
          <cell r="K68">
            <v>19.43</v>
          </cell>
          <cell r="L68">
            <v>20.82</v>
          </cell>
          <cell r="N68">
            <v>21.88</v>
          </cell>
          <cell r="O68">
            <v>23.13</v>
          </cell>
          <cell r="P68">
            <v>23.42</v>
          </cell>
          <cell r="Q68">
            <v>10.08</v>
          </cell>
          <cell r="R68">
            <v>10.78</v>
          </cell>
          <cell r="S68">
            <v>11.57</v>
          </cell>
          <cell r="T68">
            <v>12.92</v>
          </cell>
        </row>
        <row r="69">
          <cell r="E69">
            <v>19.48</v>
          </cell>
          <cell r="F69">
            <v>18.309999999999999</v>
          </cell>
          <cell r="G69">
            <v>17.87</v>
          </cell>
          <cell r="H69">
            <v>17.75</v>
          </cell>
          <cell r="I69">
            <v>18.03</v>
          </cell>
          <cell r="J69">
            <v>18.45</v>
          </cell>
          <cell r="K69">
            <v>19.3</v>
          </cell>
          <cell r="L69">
            <v>20.16</v>
          </cell>
          <cell r="N69">
            <v>20.52</v>
          </cell>
          <cell r="O69">
            <v>20.78</v>
          </cell>
          <cell r="P69">
            <v>22.19</v>
          </cell>
          <cell r="Q69">
            <v>8.92</v>
          </cell>
          <cell r="R69">
            <v>9.64</v>
          </cell>
          <cell r="S69">
            <v>10.27</v>
          </cell>
          <cell r="T69">
            <v>11.26</v>
          </cell>
        </row>
        <row r="70">
          <cell r="E70">
            <v>32.21</v>
          </cell>
          <cell r="F70">
            <v>31.52</v>
          </cell>
          <cell r="G70">
            <v>31.87</v>
          </cell>
          <cell r="H70">
            <v>32.86</v>
          </cell>
          <cell r="I70">
            <v>34.119999999999997</v>
          </cell>
          <cell r="J70">
            <v>35.479999999999997</v>
          </cell>
          <cell r="K70">
            <v>36.729999999999997</v>
          </cell>
          <cell r="L70">
            <v>37.47</v>
          </cell>
          <cell r="N70">
            <v>37.18</v>
          </cell>
          <cell r="O70">
            <v>36.35</v>
          </cell>
          <cell r="P70">
            <v>34.549999999999997</v>
          </cell>
          <cell r="Q70">
            <v>29.11</v>
          </cell>
          <cell r="R70">
            <v>34.950000000000003</v>
          </cell>
          <cell r="S70">
            <v>42.77</v>
          </cell>
          <cell r="T70">
            <v>52.79</v>
          </cell>
        </row>
        <row r="71">
          <cell r="E71">
            <v>35.78</v>
          </cell>
          <cell r="F71">
            <v>33.090000000000003</v>
          </cell>
          <cell r="G71">
            <v>35.549999999999997</v>
          </cell>
          <cell r="H71">
            <v>38.89</v>
          </cell>
          <cell r="I71">
            <v>41.73</v>
          </cell>
          <cell r="J71">
            <v>44.65</v>
          </cell>
          <cell r="K71">
            <v>45.9</v>
          </cell>
          <cell r="L71">
            <v>47.45</v>
          </cell>
          <cell r="N71">
            <v>48.83</v>
          </cell>
          <cell r="O71">
            <v>49.79</v>
          </cell>
          <cell r="P71">
            <v>48.48</v>
          </cell>
          <cell r="Q71">
            <v>49.31</v>
          </cell>
          <cell r="R71">
            <v>56.59</v>
          </cell>
          <cell r="S71">
            <v>67.19</v>
          </cell>
          <cell r="T71">
            <v>80.290000000000006</v>
          </cell>
        </row>
        <row r="72">
          <cell r="E72">
            <v>41.22</v>
          </cell>
          <cell r="F72">
            <v>41.5</v>
          </cell>
          <cell r="G72">
            <v>44.84</v>
          </cell>
          <cell r="H72">
            <v>49.5</v>
          </cell>
          <cell r="I72">
            <v>53.48</v>
          </cell>
          <cell r="J72">
            <v>57.9</v>
          </cell>
          <cell r="K72">
            <v>59.18</v>
          </cell>
          <cell r="L72">
            <v>59.61</v>
          </cell>
          <cell r="N72">
            <v>60.03</v>
          </cell>
          <cell r="O72">
            <v>60.15</v>
          </cell>
          <cell r="P72">
            <v>58.49</v>
          </cell>
          <cell r="Q72">
            <v>58.83</v>
          </cell>
          <cell r="R72">
            <v>66.349999999999994</v>
          </cell>
          <cell r="S72">
            <v>77.16</v>
          </cell>
          <cell r="T72">
            <v>91.4</v>
          </cell>
        </row>
        <row r="73">
          <cell r="E73">
            <v>26.34</v>
          </cell>
          <cell r="F73">
            <v>25.24</v>
          </cell>
          <cell r="G73">
            <v>25.81</v>
          </cell>
          <cell r="H73">
            <v>27.14</v>
          </cell>
          <cell r="I73">
            <v>28.74</v>
          </cell>
          <cell r="J73">
            <v>30.63</v>
          </cell>
          <cell r="K73">
            <v>31.7</v>
          </cell>
          <cell r="L73">
            <v>32.950000000000003</v>
          </cell>
          <cell r="N73">
            <v>33.15</v>
          </cell>
          <cell r="O73">
            <v>33.130000000000003</v>
          </cell>
          <cell r="P73">
            <v>31.97</v>
          </cell>
          <cell r="Q73">
            <v>30.42</v>
          </cell>
          <cell r="R73">
            <v>36.799999999999997</v>
          </cell>
          <cell r="S73">
            <v>44.38</v>
          </cell>
          <cell r="T73">
            <v>53.03</v>
          </cell>
        </row>
        <row r="74">
          <cell r="E74">
            <v>31.6</v>
          </cell>
          <cell r="F74">
            <v>31.82</v>
          </cell>
          <cell r="G74">
            <v>32.75</v>
          </cell>
          <cell r="H74">
            <v>34.57</v>
          </cell>
          <cell r="I74">
            <v>36.380000000000003</v>
          </cell>
          <cell r="J74">
            <v>38.31</v>
          </cell>
          <cell r="K74">
            <v>39.04</v>
          </cell>
          <cell r="L74">
            <v>39.909999999999997</v>
          </cell>
          <cell r="N74">
            <v>39.53</v>
          </cell>
          <cell r="O74">
            <v>38.520000000000003</v>
          </cell>
          <cell r="P74">
            <v>36.93</v>
          </cell>
          <cell r="Q74">
            <v>28.07</v>
          </cell>
          <cell r="R74">
            <v>33.340000000000003</v>
          </cell>
          <cell r="S74">
            <v>41.06</v>
          </cell>
          <cell r="T74">
            <v>49.66</v>
          </cell>
        </row>
        <row r="75">
          <cell r="E75">
            <v>33.700000000000003</v>
          </cell>
          <cell r="F75">
            <v>33.97</v>
          </cell>
          <cell r="G75">
            <v>34.24</v>
          </cell>
          <cell r="H75">
            <v>35.15</v>
          </cell>
          <cell r="I75">
            <v>36.119999999999997</v>
          </cell>
          <cell r="J75">
            <v>37.31</v>
          </cell>
          <cell r="K75">
            <v>38.049999999999997</v>
          </cell>
          <cell r="L75">
            <v>38.4</v>
          </cell>
          <cell r="N75">
            <v>37.57</v>
          </cell>
          <cell r="O75">
            <v>36.44</v>
          </cell>
          <cell r="P75">
            <v>34.090000000000003</v>
          </cell>
          <cell r="Q75">
            <v>25.48</v>
          </cell>
          <cell r="R75">
            <v>30.69</v>
          </cell>
          <cell r="S75">
            <v>37.119999999999997</v>
          </cell>
          <cell r="T75">
            <v>44.91</v>
          </cell>
        </row>
        <row r="76">
          <cell r="E76">
            <v>26.16</v>
          </cell>
          <cell r="F76">
            <v>26.34</v>
          </cell>
          <cell r="G76">
            <v>27.07</v>
          </cell>
          <cell r="H76">
            <v>28.58</v>
          </cell>
          <cell r="I76">
            <v>30.1</v>
          </cell>
          <cell r="J76">
            <v>31.86</v>
          </cell>
          <cell r="K76">
            <v>32.67</v>
          </cell>
          <cell r="L76">
            <v>33.89</v>
          </cell>
          <cell r="N76">
            <v>33.65</v>
          </cell>
          <cell r="O76">
            <v>32.81</v>
          </cell>
          <cell r="P76">
            <v>30.9</v>
          </cell>
          <cell r="Q76">
            <v>23.09</v>
          </cell>
          <cell r="R76">
            <v>27.29</v>
          </cell>
          <cell r="S76">
            <v>33.869999999999997</v>
          </cell>
          <cell r="T76">
            <v>41.74</v>
          </cell>
        </row>
        <row r="77">
          <cell r="E77">
            <v>28.96</v>
          </cell>
          <cell r="F77">
            <v>28.92</v>
          </cell>
          <cell r="G77">
            <v>29.48</v>
          </cell>
          <cell r="H77">
            <v>31</v>
          </cell>
          <cell r="I77">
            <v>32.57</v>
          </cell>
          <cell r="J77">
            <v>34.22</v>
          </cell>
          <cell r="K77">
            <v>34.950000000000003</v>
          </cell>
          <cell r="L77">
            <v>36.18</v>
          </cell>
          <cell r="N77">
            <v>35.99</v>
          </cell>
          <cell r="O77">
            <v>35.65</v>
          </cell>
          <cell r="P77">
            <v>31.13</v>
          </cell>
          <cell r="Q77">
            <v>27.22</v>
          </cell>
          <cell r="R77">
            <v>32.79</v>
          </cell>
          <cell r="S77">
            <v>40.119999999999997</v>
          </cell>
          <cell r="T77">
            <v>49.07</v>
          </cell>
        </row>
        <row r="78">
          <cell r="E78">
            <v>33.619999999999997</v>
          </cell>
          <cell r="F78">
            <v>34.21</v>
          </cell>
          <cell r="G78">
            <v>35.07</v>
          </cell>
          <cell r="H78">
            <v>36.549999999999997</v>
          </cell>
          <cell r="I78">
            <v>37.950000000000003</v>
          </cell>
          <cell r="J78">
            <v>39.67</v>
          </cell>
          <cell r="K78">
            <v>39.880000000000003</v>
          </cell>
          <cell r="L78">
            <v>40.46</v>
          </cell>
          <cell r="N78">
            <v>39.9</v>
          </cell>
          <cell r="O78">
            <v>39.22</v>
          </cell>
          <cell r="P78">
            <v>36.85</v>
          </cell>
          <cell r="Q78">
            <v>32.31</v>
          </cell>
          <cell r="R78">
            <v>36.99</v>
          </cell>
          <cell r="S78">
            <v>43.13</v>
          </cell>
          <cell r="T78">
            <v>51.18</v>
          </cell>
        </row>
        <row r="79">
          <cell r="E79">
            <v>27.11</v>
          </cell>
          <cell r="F79">
            <v>27.06</v>
          </cell>
          <cell r="G79">
            <v>27.82</v>
          </cell>
          <cell r="H79">
            <v>29.33</v>
          </cell>
          <cell r="I79">
            <v>30.85</v>
          </cell>
          <cell r="J79">
            <v>32.53</v>
          </cell>
          <cell r="K79">
            <v>32.89</v>
          </cell>
          <cell r="L79">
            <v>33.61</v>
          </cell>
          <cell r="N79">
            <v>33.409999999999997</v>
          </cell>
          <cell r="O79">
            <v>33.17</v>
          </cell>
          <cell r="P79">
            <v>32.090000000000003</v>
          </cell>
          <cell r="Q79">
            <v>26.06</v>
          </cell>
          <cell r="R79">
            <v>30.14</v>
          </cell>
          <cell r="S79">
            <v>34.89</v>
          </cell>
          <cell r="T79">
            <v>41.19</v>
          </cell>
        </row>
        <row r="80">
          <cell r="E80">
            <v>42.99</v>
          </cell>
          <cell r="F80">
            <v>36.92</v>
          </cell>
          <cell r="G80">
            <v>37.72</v>
          </cell>
          <cell r="H80">
            <v>38.82</v>
          </cell>
          <cell r="I80">
            <v>39.5</v>
          </cell>
          <cell r="J80">
            <v>40.119999999999997</v>
          </cell>
          <cell r="K80">
            <v>39.06</v>
          </cell>
          <cell r="L80">
            <v>38.1</v>
          </cell>
          <cell r="N80">
            <v>36.06</v>
          </cell>
          <cell r="O80">
            <v>33.590000000000003</v>
          </cell>
          <cell r="P80">
            <v>30.26</v>
          </cell>
          <cell r="Q80">
            <v>24.26</v>
          </cell>
          <cell r="R80">
            <v>29.95</v>
          </cell>
          <cell r="S80">
            <v>36.35</v>
          </cell>
          <cell r="T80">
            <v>43.07</v>
          </cell>
        </row>
        <row r="81">
          <cell r="E81">
            <v>28.09</v>
          </cell>
          <cell r="F81">
            <v>28.28</v>
          </cell>
          <cell r="G81">
            <v>29.34</v>
          </cell>
          <cell r="H81">
            <v>30.69</v>
          </cell>
          <cell r="I81">
            <v>32.28</v>
          </cell>
          <cell r="J81">
            <v>33.75</v>
          </cell>
          <cell r="K81">
            <v>33.33</v>
          </cell>
          <cell r="L81">
            <v>32.880000000000003</v>
          </cell>
          <cell r="N81">
            <v>31.34</v>
          </cell>
          <cell r="O81">
            <v>29.86</v>
          </cell>
          <cell r="P81">
            <v>27.67</v>
          </cell>
          <cell r="Q81">
            <v>21.15</v>
          </cell>
          <cell r="R81">
            <v>25.36</v>
          </cell>
          <cell r="S81">
            <v>29.78</v>
          </cell>
          <cell r="T81">
            <v>34.61</v>
          </cell>
        </row>
        <row r="82">
          <cell r="E82">
            <v>24.91</v>
          </cell>
          <cell r="F82">
            <v>24.09</v>
          </cell>
          <cell r="G82">
            <v>24.91</v>
          </cell>
          <cell r="H82">
            <v>26.19</v>
          </cell>
          <cell r="I82">
            <v>28.04</v>
          </cell>
          <cell r="J82">
            <v>30.05</v>
          </cell>
          <cell r="K82">
            <v>31.05</v>
          </cell>
          <cell r="L82">
            <v>31.84</v>
          </cell>
          <cell r="N82">
            <v>32.46</v>
          </cell>
          <cell r="O82">
            <v>33.21</v>
          </cell>
          <cell r="P82">
            <v>32.619999999999997</v>
          </cell>
          <cell r="Q82">
            <v>30.79</v>
          </cell>
          <cell r="R82">
            <v>33.82</v>
          </cell>
          <cell r="S82">
            <v>37.14</v>
          </cell>
          <cell r="T82">
            <v>40.229999999999997</v>
          </cell>
        </row>
        <row r="83">
          <cell r="E83">
            <v>24.12</v>
          </cell>
          <cell r="F83">
            <v>23.32</v>
          </cell>
          <cell r="G83">
            <v>24.11</v>
          </cell>
          <cell r="H83">
            <v>25.25</v>
          </cell>
          <cell r="I83">
            <v>26.68</v>
          </cell>
          <cell r="J83">
            <v>28.08</v>
          </cell>
          <cell r="K83">
            <v>28.5</v>
          </cell>
          <cell r="L83">
            <v>28.87</v>
          </cell>
          <cell r="N83">
            <v>28.22</v>
          </cell>
          <cell r="O83">
            <v>27.62</v>
          </cell>
          <cell r="P83">
            <v>26.08</v>
          </cell>
          <cell r="Q83">
            <v>22.44</v>
          </cell>
          <cell r="R83">
            <v>26.62</v>
          </cell>
          <cell r="S83">
            <v>30.9</v>
          </cell>
          <cell r="T83">
            <v>35.200000000000003</v>
          </cell>
        </row>
        <row r="84">
          <cell r="E84">
            <v>33.4</v>
          </cell>
          <cell r="F84">
            <v>28.93</v>
          </cell>
          <cell r="G84">
            <v>30.35</v>
          </cell>
          <cell r="H84">
            <v>32.159999999999997</v>
          </cell>
          <cell r="I84">
            <v>34.31</v>
          </cell>
          <cell r="J84">
            <v>36.56</v>
          </cell>
          <cell r="K84">
            <v>37.29</v>
          </cell>
          <cell r="L84">
            <v>38.270000000000003</v>
          </cell>
          <cell r="N84">
            <v>38.14</v>
          </cell>
          <cell r="O84">
            <v>37.99</v>
          </cell>
          <cell r="P84">
            <v>36.590000000000003</v>
          </cell>
          <cell r="Q84">
            <v>32.049999999999997</v>
          </cell>
          <cell r="R84">
            <v>36.340000000000003</v>
          </cell>
          <cell r="S84">
            <v>41.85</v>
          </cell>
          <cell r="T84">
            <v>46.97</v>
          </cell>
        </row>
        <row r="85">
          <cell r="E85">
            <v>29.98</v>
          </cell>
          <cell r="F85">
            <v>29.93</v>
          </cell>
          <cell r="G85">
            <v>31.07</v>
          </cell>
          <cell r="H85">
            <v>32.5</v>
          </cell>
          <cell r="I85">
            <v>34.26</v>
          </cell>
          <cell r="J85">
            <v>36.08</v>
          </cell>
          <cell r="K85">
            <v>36.200000000000003</v>
          </cell>
          <cell r="L85">
            <v>36.119999999999997</v>
          </cell>
          <cell r="N85">
            <v>35.119999999999997</v>
          </cell>
          <cell r="O85">
            <v>34</v>
          </cell>
          <cell r="P85">
            <v>32</v>
          </cell>
          <cell r="Q85">
            <v>25.15</v>
          </cell>
          <cell r="R85">
            <v>29.59</v>
          </cell>
          <cell r="S85">
            <v>34.49</v>
          </cell>
          <cell r="T85">
            <v>39.44</v>
          </cell>
        </row>
        <row r="86">
          <cell r="E86">
            <v>27.25</v>
          </cell>
          <cell r="F86">
            <v>28.65</v>
          </cell>
          <cell r="G86">
            <v>29.05</v>
          </cell>
          <cell r="H86">
            <v>30.28</v>
          </cell>
          <cell r="I86">
            <v>31.75</v>
          </cell>
          <cell r="J86">
            <v>33.56</v>
          </cell>
          <cell r="K86">
            <v>34.54</v>
          </cell>
          <cell r="L86">
            <v>35.840000000000003</v>
          </cell>
          <cell r="N86">
            <v>36.26</v>
          </cell>
          <cell r="O86">
            <v>36.549999999999997</v>
          </cell>
          <cell r="P86">
            <v>36</v>
          </cell>
          <cell r="Q86">
            <v>31.97</v>
          </cell>
          <cell r="R86">
            <v>35.44</v>
          </cell>
          <cell r="S86">
            <v>39.69</v>
          </cell>
          <cell r="T86">
            <v>45.31</v>
          </cell>
        </row>
        <row r="87">
          <cell r="E87">
            <v>33.03</v>
          </cell>
          <cell r="F87">
            <v>32.61</v>
          </cell>
          <cell r="G87">
            <v>33.549999999999997</v>
          </cell>
          <cell r="H87">
            <v>34.64</v>
          </cell>
          <cell r="I87">
            <v>35.97</v>
          </cell>
          <cell r="J87">
            <v>37.5</v>
          </cell>
          <cell r="K87">
            <v>37.6</v>
          </cell>
          <cell r="L87">
            <v>37.79</v>
          </cell>
          <cell r="N87">
            <v>36.08</v>
          </cell>
          <cell r="O87">
            <v>35.06</v>
          </cell>
          <cell r="P87">
            <v>33.270000000000003</v>
          </cell>
          <cell r="Q87">
            <v>28.44</v>
          </cell>
          <cell r="R87">
            <v>32.979999999999997</v>
          </cell>
          <cell r="S87">
            <v>38.200000000000003</v>
          </cell>
          <cell r="T87">
            <v>43.13</v>
          </cell>
        </row>
        <row r="88">
          <cell r="E88">
            <v>27.12</v>
          </cell>
          <cell r="F88">
            <v>27.14</v>
          </cell>
          <cell r="G88">
            <v>27.68</v>
          </cell>
          <cell r="H88">
            <v>28.53</v>
          </cell>
          <cell r="I88">
            <v>29.65</v>
          </cell>
          <cell r="J88">
            <v>30.84</v>
          </cell>
          <cell r="K88">
            <v>30.74</v>
          </cell>
          <cell r="L88">
            <v>30.74</v>
          </cell>
          <cell r="N88">
            <v>29.71</v>
          </cell>
          <cell r="O88">
            <v>28.62</v>
          </cell>
          <cell r="P88">
            <v>26.92</v>
          </cell>
          <cell r="Q88">
            <v>21.11</v>
          </cell>
          <cell r="R88">
            <v>25.02</v>
          </cell>
          <cell r="S88">
            <v>29.18</v>
          </cell>
          <cell r="T88">
            <v>33.36</v>
          </cell>
        </row>
        <row r="89">
          <cell r="E89">
            <v>27.14</v>
          </cell>
          <cell r="F89">
            <v>27.25</v>
          </cell>
          <cell r="G89">
            <v>28.7</v>
          </cell>
          <cell r="H89">
            <v>30.57</v>
          </cell>
          <cell r="I89">
            <v>32.28</v>
          </cell>
          <cell r="J89">
            <v>33.85</v>
          </cell>
          <cell r="K89">
            <v>33.4</v>
          </cell>
          <cell r="L89">
            <v>33.28</v>
          </cell>
          <cell r="N89">
            <v>32.159999999999997</v>
          </cell>
          <cell r="O89">
            <v>31.12</v>
          </cell>
          <cell r="P89">
            <v>29.44</v>
          </cell>
          <cell r="Q89">
            <v>23.94</v>
          </cell>
          <cell r="R89">
            <v>27.75</v>
          </cell>
          <cell r="S89">
            <v>31.59</v>
          </cell>
          <cell r="T89">
            <v>35.409999999999997</v>
          </cell>
        </row>
        <row r="90">
          <cell r="E90">
            <v>29.48</v>
          </cell>
          <cell r="F90">
            <v>30.03</v>
          </cell>
          <cell r="G90">
            <v>31.13</v>
          </cell>
          <cell r="H90">
            <v>32.33</v>
          </cell>
          <cell r="I90">
            <v>33.729999999999997</v>
          </cell>
          <cell r="J90">
            <v>35.299999999999997</v>
          </cell>
          <cell r="K90">
            <v>35.200000000000003</v>
          </cell>
          <cell r="L90">
            <v>34.950000000000003</v>
          </cell>
          <cell r="N90">
            <v>33.57</v>
          </cell>
          <cell r="O90">
            <v>32.47</v>
          </cell>
          <cell r="P90">
            <v>30.95</v>
          </cell>
          <cell r="Q90">
            <v>28</v>
          </cell>
          <cell r="R90">
            <v>33.020000000000003</v>
          </cell>
          <cell r="S90">
            <v>38.4</v>
          </cell>
          <cell r="T90">
            <v>43.66</v>
          </cell>
        </row>
        <row r="91">
          <cell r="E91">
            <v>22.39</v>
          </cell>
          <cell r="F91">
            <v>21.37</v>
          </cell>
          <cell r="G91">
            <v>22.07</v>
          </cell>
          <cell r="H91">
            <v>23.34</v>
          </cell>
          <cell r="I91">
            <v>24.87</v>
          </cell>
          <cell r="J91">
            <v>26.56</v>
          </cell>
          <cell r="K91">
            <v>27.46</v>
          </cell>
          <cell r="L91">
            <v>28.47</v>
          </cell>
          <cell r="N91">
            <v>28.24</v>
          </cell>
          <cell r="O91">
            <v>28.06</v>
          </cell>
          <cell r="P91">
            <v>26.88</v>
          </cell>
          <cell r="Q91">
            <v>21.15</v>
          </cell>
          <cell r="R91">
            <v>23.71</v>
          </cell>
          <cell r="S91">
            <v>26.86</v>
          </cell>
          <cell r="T91">
            <v>30.51</v>
          </cell>
        </row>
        <row r="92">
          <cell r="E92">
            <v>27.04</v>
          </cell>
          <cell r="F92">
            <v>26.72</v>
          </cell>
          <cell r="G92">
            <v>28.12</v>
          </cell>
          <cell r="H92">
            <v>29.94</v>
          </cell>
          <cell r="I92">
            <v>31.9</v>
          </cell>
          <cell r="J92">
            <v>33.880000000000003</v>
          </cell>
          <cell r="K92">
            <v>34.33</v>
          </cell>
          <cell r="L92">
            <v>34.549999999999997</v>
          </cell>
          <cell r="N92">
            <v>33.78</v>
          </cell>
          <cell r="O92">
            <v>32.85</v>
          </cell>
          <cell r="P92">
            <v>31.29</v>
          </cell>
          <cell r="Q92">
            <v>24.6</v>
          </cell>
          <cell r="R92">
            <v>28.81</v>
          </cell>
          <cell r="S92">
            <v>33.54</v>
          </cell>
          <cell r="T92">
            <v>38.14</v>
          </cell>
        </row>
        <row r="93">
          <cell r="E93">
            <v>33.5</v>
          </cell>
          <cell r="F93">
            <v>25.53</v>
          </cell>
          <cell r="G93">
            <v>26.94</v>
          </cell>
          <cell r="H93">
            <v>29.1</v>
          </cell>
          <cell r="I93">
            <v>31.66</v>
          </cell>
          <cell r="J93">
            <v>34.229999999999997</v>
          </cell>
          <cell r="K93">
            <v>35.94</v>
          </cell>
          <cell r="L93">
            <v>37.4</v>
          </cell>
          <cell r="N93">
            <v>38.21</v>
          </cell>
          <cell r="O93">
            <v>39.03</v>
          </cell>
          <cell r="P93">
            <v>38.11</v>
          </cell>
          <cell r="Q93">
            <v>34.340000000000003</v>
          </cell>
          <cell r="R93">
            <v>38.97</v>
          </cell>
          <cell r="S93">
            <v>45.23</v>
          </cell>
          <cell r="T93">
            <v>51.05</v>
          </cell>
        </row>
        <row r="94">
          <cell r="E94">
            <v>32.17</v>
          </cell>
          <cell r="F94">
            <v>30.87</v>
          </cell>
          <cell r="G94">
            <v>33.28</v>
          </cell>
          <cell r="H94">
            <v>35.409999999999997</v>
          </cell>
          <cell r="I94">
            <v>37.090000000000003</v>
          </cell>
          <cell r="J94">
            <v>38.869999999999997</v>
          </cell>
          <cell r="K94">
            <v>38.94</v>
          </cell>
          <cell r="L94">
            <v>38.979999999999997</v>
          </cell>
          <cell r="N94">
            <v>38.020000000000003</v>
          </cell>
          <cell r="O94">
            <v>36.99</v>
          </cell>
          <cell r="P94">
            <v>35.08</v>
          </cell>
          <cell r="Q94">
            <v>31.5</v>
          </cell>
          <cell r="R94">
            <v>36.119999999999997</v>
          </cell>
          <cell r="S94">
            <v>40.85</v>
          </cell>
          <cell r="T94">
            <v>45.94</v>
          </cell>
        </row>
        <row r="95">
          <cell r="E95">
            <v>24.49</v>
          </cell>
          <cell r="F95">
            <v>24.49</v>
          </cell>
          <cell r="G95">
            <v>24.87</v>
          </cell>
          <cell r="H95">
            <v>25.57</v>
          </cell>
          <cell r="I95">
            <v>26.64</v>
          </cell>
          <cell r="J95">
            <v>27.62</v>
          </cell>
          <cell r="K95">
            <v>27.7</v>
          </cell>
          <cell r="L95">
            <v>28.08</v>
          </cell>
          <cell r="N95">
            <v>27.38</v>
          </cell>
          <cell r="O95">
            <v>26.89</v>
          </cell>
          <cell r="P95">
            <v>25.87</v>
          </cell>
          <cell r="Q95">
            <v>21.13</v>
          </cell>
          <cell r="R95">
            <v>24.71</v>
          </cell>
          <cell r="S95">
            <v>27.5</v>
          </cell>
          <cell r="T95">
            <v>30.33</v>
          </cell>
        </row>
        <row r="96">
          <cell r="E96">
            <v>21.26</v>
          </cell>
          <cell r="F96">
            <v>21.55</v>
          </cell>
          <cell r="G96">
            <v>22.07</v>
          </cell>
          <cell r="H96">
            <v>23.04</v>
          </cell>
          <cell r="I96">
            <v>24.48</v>
          </cell>
          <cell r="J96">
            <v>26</v>
          </cell>
          <cell r="K96">
            <v>26.78</v>
          </cell>
          <cell r="L96">
            <v>27.74</v>
          </cell>
          <cell r="N96">
            <v>27.91</v>
          </cell>
          <cell r="O96">
            <v>28.17</v>
          </cell>
          <cell r="P96">
            <v>27.61</v>
          </cell>
          <cell r="Q96">
            <v>23.85</v>
          </cell>
          <cell r="R96">
            <v>26.69</v>
          </cell>
          <cell r="S96">
            <v>29.04</v>
          </cell>
          <cell r="T96">
            <v>31.81</v>
          </cell>
        </row>
        <row r="97">
          <cell r="E97">
            <v>21.68</v>
          </cell>
          <cell r="F97">
            <v>20.22</v>
          </cell>
          <cell r="G97">
            <v>20.89</v>
          </cell>
          <cell r="H97">
            <v>22</v>
          </cell>
          <cell r="I97">
            <v>23.73</v>
          </cell>
          <cell r="J97">
            <v>25.45</v>
          </cell>
          <cell r="K97">
            <v>26.66</v>
          </cell>
          <cell r="L97">
            <v>27.89</v>
          </cell>
          <cell r="N97">
            <v>28.49</v>
          </cell>
          <cell r="O97">
            <v>29.2</v>
          </cell>
          <cell r="P97">
            <v>29.46</v>
          </cell>
          <cell r="Q97">
            <v>23.88</v>
          </cell>
          <cell r="R97">
            <v>26.15</v>
          </cell>
          <cell r="S97">
            <v>28.65</v>
          </cell>
          <cell r="T97">
            <v>33.200000000000003</v>
          </cell>
        </row>
        <row r="98">
          <cell r="E98">
            <v>20.76</v>
          </cell>
          <cell r="F98">
            <v>20.87</v>
          </cell>
          <cell r="G98">
            <v>21.34</v>
          </cell>
          <cell r="H98">
            <v>22.23</v>
          </cell>
          <cell r="I98">
            <v>23.57</v>
          </cell>
          <cell r="J98">
            <v>24.77</v>
          </cell>
          <cell r="K98">
            <v>25.14</v>
          </cell>
          <cell r="L98">
            <v>25.77</v>
          </cell>
          <cell r="N98">
            <v>25.47</v>
          </cell>
          <cell r="O98">
            <v>26.1</v>
          </cell>
          <cell r="P98">
            <v>25.42</v>
          </cell>
          <cell r="Q98">
            <v>21.3</v>
          </cell>
          <cell r="R98">
            <v>22.62</v>
          </cell>
          <cell r="S98">
            <v>23.3</v>
          </cell>
          <cell r="T98">
            <v>25.26</v>
          </cell>
        </row>
        <row r="99">
          <cell r="E99">
            <v>23.19</v>
          </cell>
          <cell r="F99">
            <v>20.58</v>
          </cell>
          <cell r="G99">
            <v>21.71</v>
          </cell>
          <cell r="H99">
            <v>23.15</v>
          </cell>
          <cell r="I99">
            <v>25.14</v>
          </cell>
          <cell r="J99">
            <v>27.07</v>
          </cell>
          <cell r="K99">
            <v>28.14</v>
          </cell>
          <cell r="L99">
            <v>29.15</v>
          </cell>
          <cell r="N99">
            <v>29.5</v>
          </cell>
          <cell r="O99">
            <v>29.89</v>
          </cell>
          <cell r="P99">
            <v>29.26</v>
          </cell>
          <cell r="Q99">
            <v>27.6</v>
          </cell>
          <cell r="R99">
            <v>30.6</v>
          </cell>
          <cell r="S99">
            <v>33.200000000000003</v>
          </cell>
          <cell r="T99">
            <v>39.49</v>
          </cell>
        </row>
        <row r="100">
          <cell r="E100">
            <v>19.329999999999998</v>
          </cell>
          <cell r="F100">
            <v>17.07</v>
          </cell>
          <cell r="G100">
            <v>16.809999999999999</v>
          </cell>
          <cell r="H100">
            <v>16.989999999999998</v>
          </cell>
          <cell r="I100">
            <v>17.59</v>
          </cell>
          <cell r="J100">
            <v>18.3</v>
          </cell>
          <cell r="K100">
            <v>19.46</v>
          </cell>
          <cell r="L100">
            <v>20.99</v>
          </cell>
          <cell r="N100">
            <v>19.84</v>
          </cell>
          <cell r="O100">
            <v>21.41</v>
          </cell>
          <cell r="P100">
            <v>22.12</v>
          </cell>
          <cell r="Q100">
            <v>26.06</v>
          </cell>
          <cell r="R100">
            <v>26.76</v>
          </cell>
          <cell r="S100">
            <v>26.9</v>
          </cell>
          <cell r="T100">
            <v>27.41</v>
          </cell>
        </row>
        <row r="101">
          <cell r="E101">
            <v>23.77</v>
          </cell>
          <cell r="F101">
            <v>23.66</v>
          </cell>
          <cell r="G101">
            <v>24.27</v>
          </cell>
          <cell r="H101">
            <v>25.16</v>
          </cell>
          <cell r="I101">
            <v>26.51</v>
          </cell>
          <cell r="J101">
            <v>27.87</v>
          </cell>
          <cell r="K101">
            <v>28.4</v>
          </cell>
          <cell r="L101">
            <v>28.97</v>
          </cell>
          <cell r="N101">
            <v>28.63</v>
          </cell>
          <cell r="O101">
            <v>28.46</v>
          </cell>
          <cell r="P101">
            <v>27.43</v>
          </cell>
          <cell r="Q101">
            <v>22.55</v>
          </cell>
          <cell r="R101">
            <v>25.85</v>
          </cell>
          <cell r="S101">
            <v>28.79</v>
          </cell>
          <cell r="T101">
            <v>32.369999999999997</v>
          </cell>
        </row>
        <row r="102">
          <cell r="E102">
            <v>22.86</v>
          </cell>
          <cell r="F102">
            <v>21.48</v>
          </cell>
          <cell r="G102">
            <v>22.42</v>
          </cell>
          <cell r="H102">
            <v>23.75</v>
          </cell>
          <cell r="I102">
            <v>25.51</v>
          </cell>
          <cell r="J102">
            <v>27.34</v>
          </cell>
          <cell r="K102">
            <v>28.47</v>
          </cell>
          <cell r="L102">
            <v>29.46</v>
          </cell>
          <cell r="N102">
            <v>30.4</v>
          </cell>
          <cell r="O102">
            <v>31.6</v>
          </cell>
          <cell r="P102">
            <v>31.51</v>
          </cell>
          <cell r="Q102">
            <v>31.31</v>
          </cell>
          <cell r="R102">
            <v>32.840000000000003</v>
          </cell>
          <cell r="S102">
            <v>34.07</v>
          </cell>
          <cell r="T102">
            <v>36.15</v>
          </cell>
        </row>
        <row r="103">
          <cell r="E103">
            <v>27.73</v>
          </cell>
          <cell r="F103">
            <v>26.9</v>
          </cell>
          <cell r="G103">
            <v>27.56</v>
          </cell>
          <cell r="H103">
            <v>28.43</v>
          </cell>
          <cell r="I103">
            <v>29.9</v>
          </cell>
          <cell r="J103">
            <v>31.52</v>
          </cell>
          <cell r="K103">
            <v>32.19</v>
          </cell>
          <cell r="L103">
            <v>32.65</v>
          </cell>
          <cell r="N103">
            <v>32.69</v>
          </cell>
          <cell r="O103">
            <v>32.92</v>
          </cell>
          <cell r="P103">
            <v>32.43</v>
          </cell>
          <cell r="Q103">
            <v>30.94</v>
          </cell>
          <cell r="R103">
            <v>34.42</v>
          </cell>
          <cell r="S103">
            <v>37.39</v>
          </cell>
          <cell r="T103">
            <v>41.29</v>
          </cell>
        </row>
        <row r="104">
          <cell r="E104">
            <v>21.3</v>
          </cell>
          <cell r="F104">
            <v>19.989999999999998</v>
          </cell>
          <cell r="G104">
            <v>20.23</v>
          </cell>
          <cell r="H104">
            <v>20.79</v>
          </cell>
          <cell r="I104">
            <v>21.87</v>
          </cell>
          <cell r="J104">
            <v>22.64</v>
          </cell>
          <cell r="K104">
            <v>23.26</v>
          </cell>
          <cell r="L104">
            <v>24.06</v>
          </cell>
          <cell r="N104">
            <v>24.12</v>
          </cell>
          <cell r="O104">
            <v>24.22</v>
          </cell>
          <cell r="P104">
            <v>23.54</v>
          </cell>
          <cell r="Q104">
            <v>20.43</v>
          </cell>
          <cell r="R104">
            <v>22.29</v>
          </cell>
          <cell r="S104">
            <v>23.77</v>
          </cell>
          <cell r="T104">
            <v>26.03</v>
          </cell>
        </row>
        <row r="105">
          <cell r="E105">
            <v>20.079999999999998</v>
          </cell>
          <cell r="F105">
            <v>19.760000000000002</v>
          </cell>
          <cell r="G105">
            <v>19.899999999999999</v>
          </cell>
          <cell r="H105">
            <v>20.32</v>
          </cell>
          <cell r="I105">
            <v>21.17</v>
          </cell>
          <cell r="J105">
            <v>21.94</v>
          </cell>
          <cell r="K105">
            <v>22.4</v>
          </cell>
          <cell r="L105">
            <v>22.83</v>
          </cell>
          <cell r="N105">
            <v>22.36</v>
          </cell>
          <cell r="O105">
            <v>22.08</v>
          </cell>
          <cell r="P105">
            <v>21.35</v>
          </cell>
          <cell r="Q105">
            <v>18.02</v>
          </cell>
          <cell r="R105">
            <v>20.96</v>
          </cell>
          <cell r="S105">
            <v>23.37</v>
          </cell>
          <cell r="T105">
            <v>26.48</v>
          </cell>
        </row>
        <row r="106">
          <cell r="E106">
            <v>22.5</v>
          </cell>
          <cell r="F106">
            <v>22.14</v>
          </cell>
          <cell r="G106">
            <v>22.78</v>
          </cell>
          <cell r="H106">
            <v>23.85</v>
          </cell>
          <cell r="I106">
            <v>25.33</v>
          </cell>
          <cell r="J106">
            <v>26.66</v>
          </cell>
          <cell r="K106">
            <v>27.27</v>
          </cell>
          <cell r="L106">
            <v>27.83</v>
          </cell>
          <cell r="N106">
            <v>27.45</v>
          </cell>
          <cell r="O106">
            <v>27.19</v>
          </cell>
          <cell r="P106">
            <v>26.14</v>
          </cell>
          <cell r="Q106">
            <v>19.96</v>
          </cell>
          <cell r="R106">
            <v>22.6</v>
          </cell>
          <cell r="S106">
            <v>24.35</v>
          </cell>
          <cell r="T106">
            <v>26.87</v>
          </cell>
        </row>
        <row r="107">
          <cell r="E107">
            <v>23.09</v>
          </cell>
          <cell r="F107">
            <v>21.08</v>
          </cell>
          <cell r="G107">
            <v>22.15</v>
          </cell>
          <cell r="H107">
            <v>23.46</v>
          </cell>
          <cell r="I107">
            <v>25.14</v>
          </cell>
          <cell r="J107">
            <v>26.69</v>
          </cell>
          <cell r="K107">
            <v>27.39</v>
          </cell>
          <cell r="L107">
            <v>28.02</v>
          </cell>
          <cell r="N107">
            <v>27.93</v>
          </cell>
          <cell r="O107">
            <v>27.86</v>
          </cell>
          <cell r="P107">
            <v>26.89</v>
          </cell>
          <cell r="Q107">
            <v>25.49</v>
          </cell>
          <cell r="R107">
            <v>28.47</v>
          </cell>
          <cell r="S107">
            <v>30.35</v>
          </cell>
          <cell r="T107">
            <v>33.01</v>
          </cell>
        </row>
        <row r="108">
          <cell r="E108">
            <v>23.31</v>
          </cell>
          <cell r="F108">
            <v>22.93</v>
          </cell>
          <cell r="G108">
            <v>23.58</v>
          </cell>
          <cell r="H108">
            <v>24.56</v>
          </cell>
          <cell r="I108">
            <v>25.98</v>
          </cell>
          <cell r="J108">
            <v>27.37</v>
          </cell>
          <cell r="K108">
            <v>27.84</v>
          </cell>
          <cell r="L108">
            <v>28.41</v>
          </cell>
          <cell r="N108">
            <v>28.16</v>
          </cell>
          <cell r="O108">
            <v>27.85</v>
          </cell>
          <cell r="P108">
            <v>27.01</v>
          </cell>
          <cell r="Q108">
            <v>21.56</v>
          </cell>
          <cell r="R108">
            <v>24.73</v>
          </cell>
          <cell r="S108">
            <v>26.99</v>
          </cell>
          <cell r="T108">
            <v>29.83</v>
          </cell>
        </row>
      </sheetData>
      <sheetData sheetId="3">
        <row r="4">
          <cell r="D4">
            <v>300</v>
          </cell>
          <cell r="E4">
            <v>0.76</v>
          </cell>
          <cell r="H4">
            <v>21.22</v>
          </cell>
          <cell r="I4">
            <v>22.11</v>
          </cell>
          <cell r="J4">
            <v>23.49</v>
          </cell>
          <cell r="K4">
            <v>25.4</v>
          </cell>
          <cell r="L4">
            <v>25.36</v>
          </cell>
          <cell r="M4">
            <v>24.32</v>
          </cell>
          <cell r="N4">
            <v>23.06</v>
          </cell>
          <cell r="O4">
            <v>22.05</v>
          </cell>
          <cell r="P4">
            <v>22.98</v>
          </cell>
          <cell r="Q4">
            <v>22.08</v>
          </cell>
          <cell r="R4">
            <v>16.350000000000001</v>
          </cell>
          <cell r="S4">
            <v>21.17</v>
          </cell>
        </row>
        <row r="5">
          <cell r="D5">
            <v>100</v>
          </cell>
          <cell r="E5">
            <v>0.77470000000000006</v>
          </cell>
          <cell r="H5">
            <v>36.57</v>
          </cell>
          <cell r="I5">
            <v>38.07</v>
          </cell>
          <cell r="J5">
            <v>40.380000000000003</v>
          </cell>
          <cell r="K5">
            <v>43.3</v>
          </cell>
          <cell r="L5">
            <v>43.76</v>
          </cell>
          <cell r="M5">
            <v>43.59</v>
          </cell>
          <cell r="N5">
            <v>42.42</v>
          </cell>
          <cell r="O5">
            <v>41.3</v>
          </cell>
          <cell r="P5">
            <v>42.48</v>
          </cell>
          <cell r="Q5">
            <v>41.08</v>
          </cell>
          <cell r="R5">
            <v>34.29</v>
          </cell>
          <cell r="S5">
            <v>39.380000000000003</v>
          </cell>
        </row>
        <row r="6">
          <cell r="D6">
            <v>100</v>
          </cell>
          <cell r="E6">
            <v>0.45469999999999999</v>
          </cell>
          <cell r="H6">
            <v>26.22</v>
          </cell>
          <cell r="I6">
            <v>27.19</v>
          </cell>
          <cell r="J6">
            <v>28.74</v>
          </cell>
          <cell r="K6">
            <v>30.79</v>
          </cell>
          <cell r="L6">
            <v>30.77</v>
          </cell>
          <cell r="M6">
            <v>29.89</v>
          </cell>
          <cell r="N6">
            <v>28.99</v>
          </cell>
          <cell r="O6">
            <v>28.23</v>
          </cell>
          <cell r="P6">
            <v>29.56</v>
          </cell>
          <cell r="Q6">
            <v>28.58</v>
          </cell>
          <cell r="R6">
            <v>24.35</v>
          </cell>
          <cell r="S6">
            <v>29.13</v>
          </cell>
        </row>
        <row r="7">
          <cell r="D7">
            <v>100</v>
          </cell>
          <cell r="E7">
            <v>0.57999999999999996</v>
          </cell>
          <cell r="H7">
            <v>35.21</v>
          </cell>
          <cell r="I7">
            <v>37.729999999999997</v>
          </cell>
          <cell r="J7">
            <v>41.15</v>
          </cell>
          <cell r="K7">
            <v>45.15</v>
          </cell>
          <cell r="L7">
            <v>46.05</v>
          </cell>
          <cell r="M7">
            <v>40.01</v>
          </cell>
          <cell r="N7">
            <v>38.74</v>
          </cell>
          <cell r="O7">
            <v>37.6</v>
          </cell>
          <cell r="P7">
            <v>38.61</v>
          </cell>
          <cell r="Q7">
            <v>36</v>
          </cell>
          <cell r="R7">
            <v>32.99</v>
          </cell>
          <cell r="S7">
            <v>37.950000000000003</v>
          </cell>
        </row>
        <row r="8">
          <cell r="D8">
            <v>300</v>
          </cell>
          <cell r="E8">
            <v>0.56000000000000005</v>
          </cell>
          <cell r="H8">
            <v>23.77</v>
          </cell>
          <cell r="I8">
            <v>24.77</v>
          </cell>
          <cell r="J8">
            <v>26.28</v>
          </cell>
          <cell r="K8">
            <v>28.36</v>
          </cell>
          <cell r="L8">
            <v>28.4</v>
          </cell>
          <cell r="M8">
            <v>27.46</v>
          </cell>
          <cell r="N8">
            <v>25.86</v>
          </cell>
          <cell r="O8">
            <v>24.52</v>
          </cell>
          <cell r="P8">
            <v>25.17</v>
          </cell>
          <cell r="Q8">
            <v>23.87</v>
          </cell>
          <cell r="R8">
            <v>16.39</v>
          </cell>
          <cell r="S8">
            <v>21.19</v>
          </cell>
        </row>
        <row r="9">
          <cell r="D9">
            <v>200</v>
          </cell>
          <cell r="E9">
            <v>0.62</v>
          </cell>
          <cell r="H9">
            <v>33.03</v>
          </cell>
          <cell r="I9">
            <v>34.25</v>
          </cell>
          <cell r="J9">
            <v>36.130000000000003</v>
          </cell>
          <cell r="K9">
            <v>38.58</v>
          </cell>
          <cell r="L9">
            <v>38.65</v>
          </cell>
          <cell r="M9">
            <v>37.909999999999997</v>
          </cell>
          <cell r="N9">
            <v>36.28</v>
          </cell>
          <cell r="O9">
            <v>34.79</v>
          </cell>
          <cell r="P9">
            <v>35.54</v>
          </cell>
          <cell r="Q9">
            <v>33.86</v>
          </cell>
          <cell r="R9">
            <v>25.84</v>
          </cell>
          <cell r="S9">
            <v>30.67</v>
          </cell>
        </row>
        <row r="10">
          <cell r="D10">
            <v>300</v>
          </cell>
          <cell r="E10">
            <v>0.87</v>
          </cell>
          <cell r="H10">
            <v>22.22</v>
          </cell>
          <cell r="I10">
            <v>22.84</v>
          </cell>
          <cell r="J10">
            <v>23.92</v>
          </cell>
          <cell r="K10">
            <v>25.53</v>
          </cell>
          <cell r="L10">
            <v>25.2</v>
          </cell>
          <cell r="M10">
            <v>23.85</v>
          </cell>
          <cell r="N10">
            <v>22.5</v>
          </cell>
          <cell r="O10">
            <v>21.41</v>
          </cell>
          <cell r="P10">
            <v>22.27</v>
          </cell>
          <cell r="Q10">
            <v>21.58</v>
          </cell>
          <cell r="R10">
            <v>19.96</v>
          </cell>
          <cell r="S10">
            <v>21.81</v>
          </cell>
        </row>
        <row r="11">
          <cell r="D11">
            <v>200</v>
          </cell>
          <cell r="E11">
            <v>0.54779999999999995</v>
          </cell>
          <cell r="H11">
            <v>31.01</v>
          </cell>
          <cell r="I11">
            <v>31.5</v>
          </cell>
          <cell r="J11">
            <v>32.549999999999997</v>
          </cell>
          <cell r="K11">
            <v>34.130000000000003</v>
          </cell>
          <cell r="L11">
            <v>33.549999999999997</v>
          </cell>
          <cell r="M11">
            <v>32.11</v>
          </cell>
          <cell r="N11">
            <v>30.72</v>
          </cell>
          <cell r="O11">
            <v>29.47</v>
          </cell>
          <cell r="P11">
            <v>30.42</v>
          </cell>
          <cell r="Q11">
            <v>29.81</v>
          </cell>
          <cell r="R11">
            <v>26.06</v>
          </cell>
          <cell r="S11">
            <v>31</v>
          </cell>
        </row>
        <row r="12">
          <cell r="D12">
            <v>100</v>
          </cell>
          <cell r="E12">
            <v>0.51</v>
          </cell>
          <cell r="H12">
            <v>25.67</v>
          </cell>
          <cell r="I12">
            <v>27.38</v>
          </cell>
          <cell r="J12">
            <v>28.88</v>
          </cell>
          <cell r="K12">
            <v>31.42</v>
          </cell>
          <cell r="L12">
            <v>33.14</v>
          </cell>
          <cell r="M12">
            <v>33.15</v>
          </cell>
          <cell r="N12">
            <v>32.17</v>
          </cell>
          <cell r="O12">
            <v>30.66</v>
          </cell>
          <cell r="P12">
            <v>30.34</v>
          </cell>
          <cell r="Q12">
            <v>28.71</v>
          </cell>
          <cell r="R12">
            <v>19.809999999999999</v>
          </cell>
          <cell r="S12">
            <v>24.42</v>
          </cell>
        </row>
        <row r="13">
          <cell r="D13">
            <v>200</v>
          </cell>
          <cell r="E13">
            <v>0.92</v>
          </cell>
          <cell r="H13">
            <v>16.21</v>
          </cell>
          <cell r="I13">
            <v>18.25</v>
          </cell>
          <cell r="J13">
            <v>19.88</v>
          </cell>
          <cell r="K13">
            <v>22.39</v>
          </cell>
          <cell r="L13">
            <v>24.09</v>
          </cell>
          <cell r="M13">
            <v>23.91</v>
          </cell>
          <cell r="N13">
            <v>23.02</v>
          </cell>
          <cell r="O13">
            <v>21.85</v>
          </cell>
          <cell r="P13">
            <v>21.83</v>
          </cell>
          <cell r="Q13">
            <v>20.04</v>
          </cell>
          <cell r="R13">
            <v>13.08</v>
          </cell>
          <cell r="S13">
            <v>17.91</v>
          </cell>
        </row>
        <row r="14">
          <cell r="D14">
            <v>200</v>
          </cell>
          <cell r="E14">
            <v>0.63</v>
          </cell>
          <cell r="H14">
            <v>15.93</v>
          </cell>
          <cell r="I14">
            <v>18</v>
          </cell>
          <cell r="J14">
            <v>19.670000000000002</v>
          </cell>
          <cell r="K14">
            <v>22.24</v>
          </cell>
          <cell r="L14">
            <v>24.02</v>
          </cell>
          <cell r="M14">
            <v>23.92</v>
          </cell>
          <cell r="N14">
            <v>23.13</v>
          </cell>
          <cell r="O14">
            <v>22.06</v>
          </cell>
          <cell r="P14">
            <v>22.14</v>
          </cell>
          <cell r="Q14">
            <v>20.41</v>
          </cell>
          <cell r="R14">
            <v>20.03</v>
          </cell>
          <cell r="S14">
            <v>15.45</v>
          </cell>
        </row>
        <row r="15">
          <cell r="D15">
            <v>200</v>
          </cell>
          <cell r="E15">
            <v>0.76</v>
          </cell>
          <cell r="H15">
            <v>21.1</v>
          </cell>
          <cell r="I15">
            <v>23.06</v>
          </cell>
          <cell r="J15">
            <v>24.6</v>
          </cell>
          <cell r="K15">
            <v>27.11</v>
          </cell>
          <cell r="L15">
            <v>28.77</v>
          </cell>
          <cell r="M15">
            <v>28.53</v>
          </cell>
          <cell r="N15">
            <v>26.95</v>
          </cell>
          <cell r="O15">
            <v>25.03</v>
          </cell>
          <cell r="P15">
            <v>24.29</v>
          </cell>
          <cell r="Q15">
            <v>21.98</v>
          </cell>
          <cell r="R15">
            <v>9.91</v>
          </cell>
          <cell r="S15">
            <v>14.71</v>
          </cell>
        </row>
        <row r="16">
          <cell r="D16">
            <v>100</v>
          </cell>
          <cell r="E16">
            <v>0.94</v>
          </cell>
          <cell r="H16">
            <v>28.57</v>
          </cell>
          <cell r="I16">
            <v>32.11</v>
          </cell>
          <cell r="J16">
            <v>35.51</v>
          </cell>
          <cell r="K16">
            <v>40.08</v>
          </cell>
          <cell r="L16">
            <v>43.7</v>
          </cell>
          <cell r="M16">
            <v>45.59</v>
          </cell>
          <cell r="N16">
            <v>44.3</v>
          </cell>
          <cell r="O16">
            <v>42.45</v>
          </cell>
          <cell r="P16">
            <v>41.79</v>
          </cell>
          <cell r="Q16">
            <v>38.090000000000003</v>
          </cell>
          <cell r="R16">
            <v>21.06</v>
          </cell>
          <cell r="S16">
            <v>25.7</v>
          </cell>
        </row>
        <row r="17">
          <cell r="D17">
            <v>200</v>
          </cell>
          <cell r="E17">
            <v>0.877</v>
          </cell>
          <cell r="H17">
            <v>14.68</v>
          </cell>
          <cell r="I17">
            <v>16.71</v>
          </cell>
          <cell r="J17">
            <v>18.34</v>
          </cell>
          <cell r="K17">
            <v>20.85</v>
          </cell>
          <cell r="L17">
            <v>22.58</v>
          </cell>
          <cell r="M17">
            <v>22.44</v>
          </cell>
          <cell r="N17">
            <v>21.5</v>
          </cell>
          <cell r="O17">
            <v>20.3</v>
          </cell>
          <cell r="P17">
            <v>20.25</v>
          </cell>
          <cell r="Q17">
            <v>18.399999999999999</v>
          </cell>
          <cell r="R17">
            <v>11</v>
          </cell>
          <cell r="S17">
            <v>15.64</v>
          </cell>
        </row>
        <row r="18">
          <cell r="D18">
            <v>100</v>
          </cell>
          <cell r="E18">
            <v>0.87890000000000001</v>
          </cell>
          <cell r="H18">
            <v>23.29</v>
          </cell>
          <cell r="I18">
            <v>25.32</v>
          </cell>
          <cell r="J18">
            <v>27.16</v>
          </cell>
          <cell r="K18">
            <v>30.02</v>
          </cell>
          <cell r="L18">
            <v>32.090000000000003</v>
          </cell>
          <cell r="M18">
            <v>32.46</v>
          </cell>
          <cell r="N18">
            <v>31.77</v>
          </cell>
          <cell r="O18">
            <v>30.57</v>
          </cell>
          <cell r="P18">
            <v>30.56</v>
          </cell>
          <cell r="Q18">
            <v>28.86</v>
          </cell>
          <cell r="R18">
            <v>20.03</v>
          </cell>
          <cell r="S18">
            <v>24.47</v>
          </cell>
        </row>
        <row r="19">
          <cell r="D19">
            <v>200</v>
          </cell>
          <cell r="E19">
            <v>0.5</v>
          </cell>
          <cell r="H19">
            <v>21.35</v>
          </cell>
          <cell r="I19">
            <v>23.27</v>
          </cell>
          <cell r="J19">
            <v>24.77</v>
          </cell>
          <cell r="K19">
            <v>27.23</v>
          </cell>
          <cell r="L19">
            <v>28.85</v>
          </cell>
          <cell r="M19">
            <v>28.56</v>
          </cell>
          <cell r="N19">
            <v>26.93</v>
          </cell>
          <cell r="O19">
            <v>24.96</v>
          </cell>
          <cell r="P19">
            <v>24.17</v>
          </cell>
          <cell r="Q19">
            <v>21.86</v>
          </cell>
          <cell r="R19">
            <v>12.46</v>
          </cell>
          <cell r="S19">
            <v>17.260000000000002</v>
          </cell>
        </row>
        <row r="20">
          <cell r="D20">
            <v>200</v>
          </cell>
          <cell r="E20">
            <v>0.95</v>
          </cell>
          <cell r="H20">
            <v>17.62</v>
          </cell>
          <cell r="I20">
            <v>19.579999999999998</v>
          </cell>
          <cell r="J20">
            <v>21.13</v>
          </cell>
          <cell r="K20">
            <v>23.6</v>
          </cell>
          <cell r="L20">
            <v>25.26</v>
          </cell>
          <cell r="M20">
            <v>25.03</v>
          </cell>
          <cell r="N20">
            <v>23.98</v>
          </cell>
          <cell r="O20">
            <v>22.81</v>
          </cell>
          <cell r="P20">
            <v>22.61</v>
          </cell>
          <cell r="Q20">
            <v>20.75</v>
          </cell>
          <cell r="R20">
            <v>13.31</v>
          </cell>
          <cell r="S20">
            <v>18.16</v>
          </cell>
        </row>
        <row r="21">
          <cell r="D21">
            <v>200</v>
          </cell>
          <cell r="E21">
            <v>0.64</v>
          </cell>
          <cell r="H21">
            <v>34.18</v>
          </cell>
          <cell r="I21">
            <v>37.64</v>
          </cell>
          <cell r="J21">
            <v>40.71</v>
          </cell>
          <cell r="K21">
            <v>45.27</v>
          </cell>
          <cell r="L21">
            <v>47.43</v>
          </cell>
          <cell r="M21">
            <v>47.76</v>
          </cell>
          <cell r="N21">
            <v>46.3</v>
          </cell>
          <cell r="O21">
            <v>44.97</v>
          </cell>
          <cell r="P21">
            <v>44.78</v>
          </cell>
          <cell r="Q21">
            <v>42.44</v>
          </cell>
          <cell r="R21">
            <v>38.380000000000003</v>
          </cell>
          <cell r="S21">
            <v>43.44</v>
          </cell>
        </row>
        <row r="22">
          <cell r="D22">
            <v>300</v>
          </cell>
          <cell r="E22">
            <v>0.36</v>
          </cell>
          <cell r="H22">
            <v>16.71</v>
          </cell>
          <cell r="I22">
            <v>17.68</v>
          </cell>
          <cell r="J22">
            <v>18.38</v>
          </cell>
          <cell r="K22">
            <v>20.420000000000002</v>
          </cell>
          <cell r="L22">
            <v>20.6</v>
          </cell>
          <cell r="M22">
            <v>18.73</v>
          </cell>
          <cell r="N22">
            <v>17.21</v>
          </cell>
          <cell r="O22">
            <v>16.21</v>
          </cell>
          <cell r="P22">
            <v>16.39</v>
          </cell>
          <cell r="Q22">
            <v>16.559999999999999</v>
          </cell>
          <cell r="R22">
            <v>21.03</v>
          </cell>
          <cell r="S22">
            <v>26.08</v>
          </cell>
        </row>
        <row r="23">
          <cell r="D23">
            <v>200</v>
          </cell>
          <cell r="E23">
            <v>0.57999999999999996</v>
          </cell>
          <cell r="H23">
            <v>29.69</v>
          </cell>
          <cell r="I23">
            <v>32.909999999999997</v>
          </cell>
          <cell r="J23">
            <v>35.86</v>
          </cell>
          <cell r="K23">
            <v>40.29</v>
          </cell>
          <cell r="L23">
            <v>42.49</v>
          </cell>
          <cell r="M23">
            <v>42.89</v>
          </cell>
          <cell r="N23">
            <v>41.74</v>
          </cell>
          <cell r="O23">
            <v>40.76</v>
          </cell>
          <cell r="P23">
            <v>40.93</v>
          </cell>
          <cell r="Q23">
            <v>39.01</v>
          </cell>
          <cell r="R23">
            <v>35.61</v>
          </cell>
          <cell r="S23">
            <v>40.6</v>
          </cell>
        </row>
        <row r="24">
          <cell r="D24">
            <v>500</v>
          </cell>
          <cell r="E24">
            <v>0.53</v>
          </cell>
          <cell r="H24">
            <v>13.54</v>
          </cell>
          <cell r="I24">
            <v>16.59</v>
          </cell>
          <cell r="J24">
            <v>19.23</v>
          </cell>
          <cell r="K24">
            <v>23.35</v>
          </cell>
          <cell r="L24">
            <v>25.31</v>
          </cell>
          <cell r="M24">
            <v>24.95</v>
          </cell>
          <cell r="N24">
            <v>23.12</v>
          </cell>
          <cell r="O24">
            <v>22.07</v>
          </cell>
          <cell r="P24">
            <v>22.16</v>
          </cell>
          <cell r="Q24">
            <v>20.2</v>
          </cell>
          <cell r="R24">
            <v>19.170000000000002</v>
          </cell>
          <cell r="S24">
            <v>24.95</v>
          </cell>
        </row>
        <row r="25">
          <cell r="D25">
            <v>300</v>
          </cell>
          <cell r="E25">
            <v>0.41649999999999998</v>
          </cell>
          <cell r="H25">
            <v>26.47</v>
          </cell>
          <cell r="I25">
            <v>28.62</v>
          </cell>
          <cell r="J25">
            <v>30.61</v>
          </cell>
          <cell r="K25">
            <v>34</v>
          </cell>
          <cell r="L25">
            <v>35.520000000000003</v>
          </cell>
          <cell r="M25">
            <v>35.200000000000003</v>
          </cell>
          <cell r="N25">
            <v>34.520000000000003</v>
          </cell>
          <cell r="O25">
            <v>34.04</v>
          </cell>
          <cell r="P25">
            <v>34.729999999999997</v>
          </cell>
          <cell r="Q25">
            <v>34.090000000000003</v>
          </cell>
          <cell r="R25">
            <v>35.22</v>
          </cell>
          <cell r="S25">
            <v>40.06</v>
          </cell>
        </row>
        <row r="26">
          <cell r="D26">
            <v>100</v>
          </cell>
          <cell r="E26">
            <v>0.46</v>
          </cell>
          <cell r="H26">
            <v>34.590000000000003</v>
          </cell>
          <cell r="I26">
            <v>36.5</v>
          </cell>
          <cell r="J26">
            <v>38.18</v>
          </cell>
          <cell r="K26">
            <v>41.34</v>
          </cell>
          <cell r="L26">
            <v>42.55</v>
          </cell>
          <cell r="M26">
            <v>42.23</v>
          </cell>
          <cell r="N26">
            <v>41.17</v>
          </cell>
          <cell r="O26">
            <v>40.049999999999997</v>
          </cell>
          <cell r="P26">
            <v>40.11</v>
          </cell>
          <cell r="Q26">
            <v>39.46</v>
          </cell>
          <cell r="R26">
            <v>39.89</v>
          </cell>
          <cell r="S26">
            <v>44.44</v>
          </cell>
        </row>
        <row r="27">
          <cell r="D27">
            <v>500</v>
          </cell>
          <cell r="E27">
            <v>0.28000000000000003</v>
          </cell>
          <cell r="H27">
            <v>20.74</v>
          </cell>
          <cell r="I27">
            <v>22.87</v>
          </cell>
          <cell r="J27">
            <v>24.61</v>
          </cell>
          <cell r="K27">
            <v>28</v>
          </cell>
          <cell r="L27">
            <v>29.25</v>
          </cell>
          <cell r="M27">
            <v>28.12</v>
          </cell>
          <cell r="N27">
            <v>25.15</v>
          </cell>
          <cell r="O27">
            <v>22.9</v>
          </cell>
          <cell r="P27">
            <v>21.73</v>
          </cell>
          <cell r="Q27">
            <v>19.89</v>
          </cell>
          <cell r="R27">
            <v>17.78</v>
          </cell>
          <cell r="S27">
            <v>23.49</v>
          </cell>
        </row>
        <row r="28">
          <cell r="D28">
            <v>100</v>
          </cell>
          <cell r="E28">
            <v>0.77</v>
          </cell>
          <cell r="H28">
            <v>43.08</v>
          </cell>
          <cell r="I28">
            <v>47.24</v>
          </cell>
          <cell r="J28">
            <v>50.56</v>
          </cell>
          <cell r="K28">
            <v>55.36</v>
          </cell>
          <cell r="L28">
            <v>57.57</v>
          </cell>
          <cell r="M28">
            <v>58.16</v>
          </cell>
          <cell r="N28">
            <v>56.94</v>
          </cell>
          <cell r="O28">
            <v>55.59</v>
          </cell>
          <cell r="P28">
            <v>55.37</v>
          </cell>
          <cell r="Q28">
            <v>52.55</v>
          </cell>
          <cell r="R28">
            <v>47.96</v>
          </cell>
          <cell r="S28">
            <v>52.93</v>
          </cell>
        </row>
        <row r="29">
          <cell r="D29">
            <v>300</v>
          </cell>
          <cell r="E29">
            <v>0.43</v>
          </cell>
          <cell r="H29">
            <v>9.77</v>
          </cell>
          <cell r="I29">
            <v>10.49</v>
          </cell>
          <cell r="J29">
            <v>10.86</v>
          </cell>
          <cell r="K29">
            <v>12.42</v>
          </cell>
          <cell r="L29">
            <v>12.28</v>
          </cell>
          <cell r="M29">
            <v>10.15</v>
          </cell>
          <cell r="N29">
            <v>9.56</v>
          </cell>
          <cell r="O29">
            <v>9.5500000000000007</v>
          </cell>
          <cell r="P29">
            <v>10.77</v>
          </cell>
          <cell r="Q29">
            <v>11.93</v>
          </cell>
          <cell r="R29">
            <v>20.99</v>
          </cell>
          <cell r="S29">
            <v>26.06</v>
          </cell>
        </row>
        <row r="30">
          <cell r="D30">
            <v>400</v>
          </cell>
          <cell r="E30">
            <v>0.67930000000000001</v>
          </cell>
          <cell r="H30">
            <v>20.71</v>
          </cell>
          <cell r="I30">
            <v>23.47</v>
          </cell>
          <cell r="J30">
            <v>25.76</v>
          </cell>
          <cell r="K30">
            <v>29.57</v>
          </cell>
          <cell r="L30">
            <v>30.86</v>
          </cell>
          <cell r="M30">
            <v>29.77</v>
          </cell>
          <cell r="N30">
            <v>26.84</v>
          </cell>
          <cell r="O30">
            <v>24.64</v>
          </cell>
          <cell r="P30">
            <v>23.52</v>
          </cell>
          <cell r="Q30">
            <v>21.09</v>
          </cell>
          <cell r="R30">
            <v>18.100000000000001</v>
          </cell>
          <cell r="S30">
            <v>23.82</v>
          </cell>
        </row>
        <row r="31">
          <cell r="D31">
            <v>500</v>
          </cell>
          <cell r="E31">
            <v>0.31</v>
          </cell>
          <cell r="H31">
            <v>14.48</v>
          </cell>
          <cell r="I31">
            <v>18.53</v>
          </cell>
          <cell r="J31">
            <v>22.27</v>
          </cell>
          <cell r="K31">
            <v>27.47</v>
          </cell>
          <cell r="L31">
            <v>30.45</v>
          </cell>
          <cell r="M31">
            <v>31.43</v>
          </cell>
          <cell r="N31">
            <v>30.18</v>
          </cell>
          <cell r="O31">
            <v>29.48</v>
          </cell>
          <cell r="P31">
            <v>29.98</v>
          </cell>
          <cell r="Q31">
            <v>27.25</v>
          </cell>
          <cell r="R31">
            <v>21.46</v>
          </cell>
          <cell r="S31">
            <v>26.93</v>
          </cell>
        </row>
        <row r="32">
          <cell r="D32">
            <v>400</v>
          </cell>
          <cell r="E32">
            <v>0.55579999999999996</v>
          </cell>
          <cell r="H32">
            <v>12.17</v>
          </cell>
          <cell r="I32">
            <v>13.9</v>
          </cell>
          <cell r="J32">
            <v>15.24</v>
          </cell>
          <cell r="K32">
            <v>18.03</v>
          </cell>
          <cell r="L32">
            <v>18.920000000000002</v>
          </cell>
          <cell r="M32">
            <v>17.5</v>
          </cell>
          <cell r="N32">
            <v>15.64</v>
          </cell>
          <cell r="O32">
            <v>14.58</v>
          </cell>
          <cell r="P32">
            <v>14.66</v>
          </cell>
          <cell r="Q32">
            <v>16.09</v>
          </cell>
          <cell r="R32">
            <v>16.71</v>
          </cell>
          <cell r="S32">
            <v>22.29</v>
          </cell>
        </row>
        <row r="33">
          <cell r="D33">
            <v>400</v>
          </cell>
          <cell r="E33">
            <v>0.34</v>
          </cell>
          <cell r="H33">
            <v>14.88</v>
          </cell>
          <cell r="I33">
            <v>18.03</v>
          </cell>
          <cell r="J33">
            <v>20.88</v>
          </cell>
          <cell r="K33">
            <v>25.34</v>
          </cell>
          <cell r="L33">
            <v>27.74</v>
          </cell>
          <cell r="M33">
            <v>27.81</v>
          </cell>
          <cell r="N33">
            <v>25.9</v>
          </cell>
          <cell r="O33">
            <v>24.77</v>
          </cell>
          <cell r="P33">
            <v>24.77</v>
          </cell>
          <cell r="Q33">
            <v>22.81</v>
          </cell>
          <cell r="R33">
            <v>20.03</v>
          </cell>
          <cell r="S33">
            <v>25.85</v>
          </cell>
        </row>
        <row r="34">
          <cell r="D34">
            <v>500</v>
          </cell>
          <cell r="E34">
            <v>0.38</v>
          </cell>
          <cell r="H34">
            <v>13.13</v>
          </cell>
          <cell r="I34">
            <v>14.24</v>
          </cell>
          <cell r="J34">
            <v>14.97</v>
          </cell>
          <cell r="K34">
            <v>17.2</v>
          </cell>
          <cell r="L34">
            <v>17.55</v>
          </cell>
          <cell r="M34">
            <v>15.63</v>
          </cell>
          <cell r="N34">
            <v>13.69</v>
          </cell>
          <cell r="O34">
            <v>12.54</v>
          </cell>
          <cell r="P34">
            <v>12.53</v>
          </cell>
          <cell r="Q34">
            <v>12.53</v>
          </cell>
          <cell r="R34">
            <v>17.68</v>
          </cell>
          <cell r="S34">
            <v>22.77</v>
          </cell>
        </row>
        <row r="42">
          <cell r="D42">
            <v>100</v>
          </cell>
          <cell r="E42">
            <v>1</v>
          </cell>
          <cell r="H42">
            <v>63.46</v>
          </cell>
          <cell r="I42">
            <v>63.72</v>
          </cell>
          <cell r="J42">
            <v>63.03</v>
          </cell>
          <cell r="K42">
            <v>62.5</v>
          </cell>
          <cell r="L42">
            <v>63.91</v>
          </cell>
          <cell r="M42">
            <v>63.14</v>
          </cell>
          <cell r="N42">
            <v>58.91</v>
          </cell>
          <cell r="O42">
            <v>55.15</v>
          </cell>
          <cell r="P42">
            <v>53.44</v>
          </cell>
          <cell r="Q42">
            <v>50.07</v>
          </cell>
          <cell r="R42">
            <v>46.03</v>
          </cell>
          <cell r="S42">
            <v>53.08</v>
          </cell>
        </row>
        <row r="43">
          <cell r="D43">
            <v>100</v>
          </cell>
          <cell r="E43">
            <v>0.98029999999999995</v>
          </cell>
          <cell r="H43">
            <v>47.77</v>
          </cell>
          <cell r="I43">
            <v>48.06</v>
          </cell>
          <cell r="J43">
            <v>47.39</v>
          </cell>
          <cell r="K43">
            <v>46.82</v>
          </cell>
          <cell r="L43">
            <v>48.16</v>
          </cell>
          <cell r="M43">
            <v>47.3</v>
          </cell>
          <cell r="N43">
            <v>45.2</v>
          </cell>
          <cell r="O43">
            <v>43.56</v>
          </cell>
          <cell r="P43">
            <v>43.78</v>
          </cell>
          <cell r="Q43">
            <v>41.54</v>
          </cell>
          <cell r="R43">
            <v>45.21</v>
          </cell>
          <cell r="S43">
            <v>52.02</v>
          </cell>
        </row>
        <row r="44">
          <cell r="D44">
            <v>100</v>
          </cell>
          <cell r="E44">
            <v>1</v>
          </cell>
          <cell r="H44">
            <v>45.13</v>
          </cell>
          <cell r="I44">
            <v>44.06</v>
          </cell>
          <cell r="J44">
            <v>41.98</v>
          </cell>
          <cell r="K44">
            <v>39.950000000000003</v>
          </cell>
          <cell r="L44">
            <v>39.729999999999997</v>
          </cell>
          <cell r="M44">
            <v>41.26</v>
          </cell>
          <cell r="N44">
            <v>41.6</v>
          </cell>
          <cell r="O44">
            <v>41.59</v>
          </cell>
          <cell r="P44">
            <v>42.4</v>
          </cell>
          <cell r="Q44">
            <v>41.73</v>
          </cell>
          <cell r="R44">
            <v>49.75</v>
          </cell>
          <cell r="S44">
            <v>56.98</v>
          </cell>
        </row>
        <row r="45">
          <cell r="D45">
            <v>100</v>
          </cell>
          <cell r="E45">
            <v>1</v>
          </cell>
          <cell r="H45">
            <v>60.02</v>
          </cell>
          <cell r="I45">
            <v>59.96</v>
          </cell>
          <cell r="J45">
            <v>58.95</v>
          </cell>
          <cell r="K45">
            <v>58.06</v>
          </cell>
          <cell r="L45">
            <v>59.09</v>
          </cell>
          <cell r="M45">
            <v>57.95</v>
          </cell>
          <cell r="N45">
            <v>54.76</v>
          </cell>
          <cell r="O45">
            <v>52.02</v>
          </cell>
          <cell r="P45">
            <v>51.36</v>
          </cell>
          <cell r="Q45">
            <v>49.35</v>
          </cell>
          <cell r="R45">
            <v>51.28</v>
          </cell>
          <cell r="S45">
            <v>58.66</v>
          </cell>
        </row>
        <row r="46">
          <cell r="D46">
            <v>100</v>
          </cell>
          <cell r="E46">
            <v>1</v>
          </cell>
          <cell r="H46">
            <v>61.3</v>
          </cell>
          <cell r="I46">
            <v>61</v>
          </cell>
          <cell r="J46">
            <v>59.74</v>
          </cell>
          <cell r="K46">
            <v>58.6</v>
          </cell>
          <cell r="L46">
            <v>59.38</v>
          </cell>
          <cell r="M46">
            <v>57.98</v>
          </cell>
          <cell r="N46">
            <v>54.64</v>
          </cell>
          <cell r="O46">
            <v>51.74</v>
          </cell>
          <cell r="P46">
            <v>50.95</v>
          </cell>
          <cell r="Q46">
            <v>49.05</v>
          </cell>
          <cell r="R46">
            <v>51.82</v>
          </cell>
          <cell r="S46">
            <v>59.23</v>
          </cell>
        </row>
        <row r="47">
          <cell r="D47">
            <v>100</v>
          </cell>
          <cell r="E47">
            <v>0.89</v>
          </cell>
          <cell r="H47">
            <v>55.44</v>
          </cell>
          <cell r="I47">
            <v>55.52</v>
          </cell>
          <cell r="J47">
            <v>54.64</v>
          </cell>
          <cell r="K47">
            <v>53.88</v>
          </cell>
          <cell r="L47">
            <v>55.04</v>
          </cell>
          <cell r="M47">
            <v>54.01</v>
          </cell>
          <cell r="N47">
            <v>51.43</v>
          </cell>
          <cell r="O47">
            <v>49.29</v>
          </cell>
          <cell r="P47">
            <v>49.19</v>
          </cell>
          <cell r="Q47">
            <v>47.61</v>
          </cell>
          <cell r="R47">
            <v>51.01</v>
          </cell>
          <cell r="S47">
            <v>58.27</v>
          </cell>
        </row>
        <row r="48">
          <cell r="D48">
            <v>100</v>
          </cell>
          <cell r="E48">
            <v>1</v>
          </cell>
          <cell r="H48">
            <v>62.85</v>
          </cell>
          <cell r="I48">
            <v>62.38</v>
          </cell>
          <cell r="J48">
            <v>60.94</v>
          </cell>
          <cell r="K48">
            <v>59.62</v>
          </cell>
          <cell r="L48">
            <v>60.21</v>
          </cell>
          <cell r="M48">
            <v>58.64</v>
          </cell>
          <cell r="N48">
            <v>55.11</v>
          </cell>
          <cell r="O48">
            <v>52.04</v>
          </cell>
          <cell r="P48">
            <v>51.09</v>
          </cell>
          <cell r="Q48">
            <v>49.21</v>
          </cell>
          <cell r="R48">
            <v>50.88</v>
          </cell>
          <cell r="S48">
            <v>58.22</v>
          </cell>
        </row>
        <row r="49">
          <cell r="D49">
            <v>100</v>
          </cell>
          <cell r="E49">
            <v>0.8579</v>
          </cell>
          <cell r="H49">
            <v>42.94</v>
          </cell>
          <cell r="I49">
            <v>42.68</v>
          </cell>
          <cell r="J49">
            <v>41.42</v>
          </cell>
          <cell r="K49">
            <v>40.24</v>
          </cell>
          <cell r="L49">
            <v>40.92</v>
          </cell>
          <cell r="M49">
            <v>42.17</v>
          </cell>
          <cell r="N49">
            <v>41.07</v>
          </cell>
          <cell r="O49">
            <v>40.29</v>
          </cell>
          <cell r="P49">
            <v>40.840000000000003</v>
          </cell>
          <cell r="Q49">
            <v>40.06</v>
          </cell>
          <cell r="R49">
            <v>46.07</v>
          </cell>
          <cell r="S49">
            <v>52.84</v>
          </cell>
        </row>
        <row r="50">
          <cell r="D50">
            <v>100</v>
          </cell>
          <cell r="E50">
            <v>1</v>
          </cell>
          <cell r="H50">
            <v>54.83</v>
          </cell>
          <cell r="I50">
            <v>53.95</v>
          </cell>
          <cell r="J50">
            <v>52.08</v>
          </cell>
          <cell r="K50">
            <v>50.31</v>
          </cell>
          <cell r="L50">
            <v>50.38</v>
          </cell>
          <cell r="M50">
            <v>48.3</v>
          </cell>
          <cell r="N50">
            <v>45.8</v>
          </cell>
          <cell r="O50">
            <v>43.75</v>
          </cell>
          <cell r="P50">
            <v>43.72</v>
          </cell>
          <cell r="Q50">
            <v>42.66</v>
          </cell>
          <cell r="R50">
            <v>51.16</v>
          </cell>
          <cell r="S50">
            <v>58.52</v>
          </cell>
        </row>
        <row r="51">
          <cell r="D51">
            <v>100</v>
          </cell>
          <cell r="E51">
            <v>0.98640000000000005</v>
          </cell>
          <cell r="H51">
            <v>62.07</v>
          </cell>
          <cell r="I51">
            <v>62.06</v>
          </cell>
          <cell r="J51">
            <v>61.11</v>
          </cell>
          <cell r="K51">
            <v>60.28</v>
          </cell>
          <cell r="L51">
            <v>61.39</v>
          </cell>
          <cell r="M51">
            <v>60.32</v>
          </cell>
          <cell r="N51">
            <v>56.85</v>
          </cell>
          <cell r="O51">
            <v>53.82</v>
          </cell>
          <cell r="P51">
            <v>52.91</v>
          </cell>
          <cell r="Q51">
            <v>50.59</v>
          </cell>
          <cell r="R51">
            <v>51.48</v>
          </cell>
          <cell r="S51">
            <v>58.89</v>
          </cell>
        </row>
        <row r="52">
          <cell r="D52">
            <v>100</v>
          </cell>
          <cell r="E52">
            <v>0.55079999999999996</v>
          </cell>
          <cell r="H52">
            <v>46.51</v>
          </cell>
          <cell r="I52">
            <v>47.39</v>
          </cell>
          <cell r="J52">
            <v>47.31</v>
          </cell>
          <cell r="K52">
            <v>47.36</v>
          </cell>
          <cell r="L52">
            <v>49.35</v>
          </cell>
          <cell r="M52">
            <v>49.11</v>
          </cell>
          <cell r="N52">
            <v>47.46</v>
          </cell>
          <cell r="O52">
            <v>46.25</v>
          </cell>
          <cell r="P52">
            <v>46.93</v>
          </cell>
          <cell r="Q52">
            <v>45.33</v>
          </cell>
          <cell r="R52">
            <v>48.21</v>
          </cell>
          <cell r="S52">
            <v>55.23</v>
          </cell>
        </row>
        <row r="53">
          <cell r="D53">
            <v>100</v>
          </cell>
          <cell r="E53">
            <v>1</v>
          </cell>
          <cell r="H53">
            <v>43.41</v>
          </cell>
          <cell r="I53">
            <v>42.99</v>
          </cell>
          <cell r="J53">
            <v>43.23</v>
          </cell>
          <cell r="K53">
            <v>44.18</v>
          </cell>
          <cell r="L53">
            <v>45.47</v>
          </cell>
          <cell r="M53">
            <v>44.59</v>
          </cell>
          <cell r="N53">
            <v>43.8</v>
          </cell>
          <cell r="O53">
            <v>43.17</v>
          </cell>
          <cell r="P53">
            <v>42.56</v>
          </cell>
          <cell r="Q53">
            <v>43.37</v>
          </cell>
          <cell r="R53">
            <v>34.909999999999997</v>
          </cell>
          <cell r="S53">
            <v>36.979999999999997</v>
          </cell>
        </row>
        <row r="54">
          <cell r="D54">
            <v>100</v>
          </cell>
          <cell r="E54">
            <v>1</v>
          </cell>
          <cell r="H54">
            <v>46.88</v>
          </cell>
          <cell r="I54">
            <v>47.54</v>
          </cell>
          <cell r="J54">
            <v>48.95</v>
          </cell>
          <cell r="K54">
            <v>51.12</v>
          </cell>
          <cell r="L54">
            <v>53.69</v>
          </cell>
          <cell r="M54">
            <v>54.02</v>
          </cell>
          <cell r="N54">
            <v>52.79</v>
          </cell>
          <cell r="O54">
            <v>51.72</v>
          </cell>
          <cell r="P54">
            <v>50.67</v>
          </cell>
          <cell r="Q54">
            <v>47.71</v>
          </cell>
          <cell r="R54">
            <v>33.020000000000003</v>
          </cell>
          <cell r="S54">
            <v>35.22</v>
          </cell>
        </row>
        <row r="55">
          <cell r="D55">
            <v>100</v>
          </cell>
          <cell r="E55">
            <v>1</v>
          </cell>
          <cell r="H55">
            <v>45.03</v>
          </cell>
          <cell r="I55">
            <v>45.25</v>
          </cell>
          <cell r="J55">
            <v>46.18</v>
          </cell>
          <cell r="K55">
            <v>47.85</v>
          </cell>
          <cell r="L55">
            <v>49.92</v>
          </cell>
          <cell r="M55">
            <v>49.78</v>
          </cell>
          <cell r="N55">
            <v>49.23</v>
          </cell>
          <cell r="O55">
            <v>48.83</v>
          </cell>
          <cell r="P55">
            <v>48.56</v>
          </cell>
          <cell r="Q55">
            <v>47.22</v>
          </cell>
          <cell r="R55">
            <v>37.49</v>
          </cell>
          <cell r="S55">
            <v>39.840000000000003</v>
          </cell>
        </row>
        <row r="56">
          <cell r="D56">
            <v>100</v>
          </cell>
          <cell r="E56">
            <v>0.7944</v>
          </cell>
          <cell r="H56">
            <v>47.83</v>
          </cell>
          <cell r="I56">
            <v>48.23</v>
          </cell>
          <cell r="J56">
            <v>49.38</v>
          </cell>
          <cell r="K56">
            <v>51.29</v>
          </cell>
          <cell r="L56">
            <v>53.63</v>
          </cell>
          <cell r="M56">
            <v>53.73</v>
          </cell>
          <cell r="N56">
            <v>53.15</v>
          </cell>
          <cell r="O56">
            <v>52.72</v>
          </cell>
          <cell r="P56">
            <v>52.51</v>
          </cell>
          <cell r="Q56">
            <v>51.08</v>
          </cell>
          <cell r="R56">
            <v>40.450000000000003</v>
          </cell>
          <cell r="S56">
            <v>42.9</v>
          </cell>
        </row>
        <row r="57">
          <cell r="D57">
            <v>100</v>
          </cell>
          <cell r="E57">
            <v>1</v>
          </cell>
          <cell r="H57">
            <v>46.41</v>
          </cell>
          <cell r="I57">
            <v>47.53</v>
          </cell>
          <cell r="J57">
            <v>49.42</v>
          </cell>
          <cell r="K57">
            <v>52.09</v>
          </cell>
          <cell r="L57">
            <v>55.25</v>
          </cell>
          <cell r="M57">
            <v>56.17</v>
          </cell>
          <cell r="N57">
            <v>55.51</v>
          </cell>
          <cell r="O57">
            <v>55.01</v>
          </cell>
          <cell r="P57">
            <v>54.65</v>
          </cell>
          <cell r="Q57">
            <v>52.34</v>
          </cell>
          <cell r="R57">
            <v>38.07</v>
          </cell>
          <cell r="S57">
            <v>40.43</v>
          </cell>
        </row>
        <row r="58">
          <cell r="D58">
            <v>100</v>
          </cell>
          <cell r="E58">
            <v>1</v>
          </cell>
          <cell r="H58">
            <v>45.83</v>
          </cell>
          <cell r="I58">
            <v>46.73</v>
          </cell>
          <cell r="J58">
            <v>48.37</v>
          </cell>
          <cell r="K58">
            <v>50.77</v>
          </cell>
          <cell r="L58">
            <v>53.6</v>
          </cell>
          <cell r="M58">
            <v>54.2</v>
          </cell>
          <cell r="N58">
            <v>53.36</v>
          </cell>
          <cell r="O58">
            <v>52.69</v>
          </cell>
          <cell r="P58">
            <v>52.1</v>
          </cell>
          <cell r="Q58">
            <v>49.78</v>
          </cell>
          <cell r="R58">
            <v>35.590000000000003</v>
          </cell>
          <cell r="S58">
            <v>37.9</v>
          </cell>
        </row>
        <row r="59">
          <cell r="D59">
            <v>100</v>
          </cell>
          <cell r="E59">
            <v>0.63</v>
          </cell>
          <cell r="H59">
            <v>47.3</v>
          </cell>
          <cell r="I59">
            <v>48.44</v>
          </cell>
          <cell r="J59">
            <v>50.35</v>
          </cell>
          <cell r="K59">
            <v>53.05</v>
          </cell>
          <cell r="L59">
            <v>56.22</v>
          </cell>
          <cell r="M59">
            <v>57.14</v>
          </cell>
          <cell r="N59">
            <v>56.48</v>
          </cell>
          <cell r="O59">
            <v>55.98</v>
          </cell>
          <cell r="P59">
            <v>55.66</v>
          </cell>
          <cell r="Q59">
            <v>53.4</v>
          </cell>
          <cell r="R59">
            <v>39.35</v>
          </cell>
          <cell r="S59">
            <v>41.74</v>
          </cell>
        </row>
        <row r="60">
          <cell r="D60">
            <v>100</v>
          </cell>
          <cell r="E60">
            <v>0.99</v>
          </cell>
          <cell r="H60">
            <v>45.56</v>
          </cell>
          <cell r="I60">
            <v>45.25</v>
          </cell>
          <cell r="J60">
            <v>45.62</v>
          </cell>
          <cell r="K60">
            <v>46.73</v>
          </cell>
          <cell r="L60">
            <v>48.2</v>
          </cell>
          <cell r="M60">
            <v>47.46</v>
          </cell>
          <cell r="N60">
            <v>45.74</v>
          </cell>
          <cell r="O60">
            <v>44.2</v>
          </cell>
          <cell r="P60">
            <v>42.5</v>
          </cell>
          <cell r="Q60">
            <v>40.270000000000003</v>
          </cell>
          <cell r="R60">
            <v>25.23</v>
          </cell>
          <cell r="S60">
            <v>26.86</v>
          </cell>
        </row>
        <row r="61">
          <cell r="D61">
            <v>100</v>
          </cell>
          <cell r="E61">
            <v>1</v>
          </cell>
          <cell r="H61">
            <v>51.87</v>
          </cell>
          <cell r="I61">
            <v>51.48</v>
          </cell>
          <cell r="J61">
            <v>51.83</v>
          </cell>
          <cell r="K61">
            <v>52.95</v>
          </cell>
          <cell r="L61">
            <v>54.43</v>
          </cell>
          <cell r="M61">
            <v>53.67</v>
          </cell>
          <cell r="N61">
            <v>51.89</v>
          </cell>
          <cell r="O61">
            <v>50.27</v>
          </cell>
          <cell r="P61">
            <v>48.7</v>
          </cell>
          <cell r="Q61">
            <v>46.78</v>
          </cell>
          <cell r="R61">
            <v>39.369999999999997</v>
          </cell>
          <cell r="S61">
            <v>41.78</v>
          </cell>
        </row>
        <row r="62">
          <cell r="D62">
            <v>100</v>
          </cell>
          <cell r="E62">
            <v>1</v>
          </cell>
          <cell r="H62">
            <v>52.76</v>
          </cell>
          <cell r="I62">
            <v>52.99</v>
          </cell>
          <cell r="J62">
            <v>53.99</v>
          </cell>
          <cell r="K62">
            <v>55.78</v>
          </cell>
          <cell r="L62">
            <v>57.99</v>
          </cell>
          <cell r="M62">
            <v>57.94</v>
          </cell>
          <cell r="N62">
            <v>56.34</v>
          </cell>
          <cell r="O62">
            <v>54.89</v>
          </cell>
          <cell r="P62">
            <v>53.57</v>
          </cell>
          <cell r="Q62">
            <v>51.84</v>
          </cell>
          <cell r="R62">
            <v>38.119999999999997</v>
          </cell>
          <cell r="S62">
            <v>40.46</v>
          </cell>
        </row>
        <row r="63">
          <cell r="D63">
            <v>100</v>
          </cell>
          <cell r="E63">
            <v>0.56000000000000005</v>
          </cell>
          <cell r="H63">
            <v>42.6</v>
          </cell>
          <cell r="I63">
            <v>42.7</v>
          </cell>
          <cell r="J63">
            <v>43.36</v>
          </cell>
          <cell r="K63">
            <v>44.88</v>
          </cell>
          <cell r="L63">
            <v>46.27</v>
          </cell>
          <cell r="M63">
            <v>46.25</v>
          </cell>
          <cell r="N63">
            <v>45.79</v>
          </cell>
          <cell r="O63">
            <v>45.67</v>
          </cell>
          <cell r="P63">
            <v>45.64</v>
          </cell>
          <cell r="Q63">
            <v>45.25</v>
          </cell>
          <cell r="R63">
            <v>39.69</v>
          </cell>
          <cell r="S63">
            <v>41.83</v>
          </cell>
        </row>
        <row r="64">
          <cell r="D64">
            <v>300</v>
          </cell>
          <cell r="E64">
            <v>0.38</v>
          </cell>
          <cell r="H64">
            <v>25.87</v>
          </cell>
          <cell r="I64">
            <v>25.08</v>
          </cell>
          <cell r="J64">
            <v>24.78</v>
          </cell>
          <cell r="K64">
            <v>25.38</v>
          </cell>
          <cell r="L64">
            <v>26.01</v>
          </cell>
          <cell r="M64">
            <v>24.77</v>
          </cell>
          <cell r="N64">
            <v>24.16</v>
          </cell>
          <cell r="O64">
            <v>24.12</v>
          </cell>
          <cell r="P64">
            <v>23.79</v>
          </cell>
          <cell r="Q64">
            <v>24.07</v>
          </cell>
          <cell r="R64">
            <v>20.38</v>
          </cell>
          <cell r="S64">
            <v>22.17</v>
          </cell>
        </row>
        <row r="65">
          <cell r="D65">
            <v>100</v>
          </cell>
          <cell r="E65">
            <v>0.86</v>
          </cell>
          <cell r="H65">
            <v>41.09</v>
          </cell>
          <cell r="I65">
            <v>41.41</v>
          </cell>
          <cell r="J65">
            <v>42.26</v>
          </cell>
          <cell r="K65">
            <v>43.96</v>
          </cell>
          <cell r="L65">
            <v>45.55</v>
          </cell>
          <cell r="M65">
            <v>45.73</v>
          </cell>
          <cell r="N65">
            <v>42.23</v>
          </cell>
          <cell r="O65">
            <v>41.7</v>
          </cell>
          <cell r="P65">
            <v>41.28</v>
          </cell>
          <cell r="Q65">
            <v>40.33</v>
          </cell>
          <cell r="R65">
            <v>32.270000000000003</v>
          </cell>
          <cell r="S65">
            <v>33.909999999999997</v>
          </cell>
        </row>
        <row r="66">
          <cell r="D66">
            <v>100</v>
          </cell>
          <cell r="E66">
            <v>1</v>
          </cell>
          <cell r="H66">
            <v>52.01</v>
          </cell>
          <cell r="I66">
            <v>52.99</v>
          </cell>
          <cell r="J66">
            <v>54.12</v>
          </cell>
          <cell r="K66">
            <v>56.13</v>
          </cell>
          <cell r="L66">
            <v>57.92</v>
          </cell>
          <cell r="M66">
            <v>58.25</v>
          </cell>
          <cell r="N66">
            <v>56.38</v>
          </cell>
          <cell r="O66">
            <v>54.85</v>
          </cell>
          <cell r="P66">
            <v>53.4</v>
          </cell>
          <cell r="Q66">
            <v>50.87</v>
          </cell>
          <cell r="R66">
            <v>39.81</v>
          </cell>
          <cell r="S66">
            <v>41.93</v>
          </cell>
        </row>
        <row r="67">
          <cell r="D67">
            <v>100</v>
          </cell>
          <cell r="E67">
            <v>0.79</v>
          </cell>
          <cell r="H67">
            <v>44.28</v>
          </cell>
          <cell r="I67">
            <v>45.66</v>
          </cell>
          <cell r="J67">
            <v>47.58</v>
          </cell>
          <cell r="K67">
            <v>50.38</v>
          </cell>
          <cell r="L67">
            <v>53.06</v>
          </cell>
          <cell r="M67">
            <v>54.29</v>
          </cell>
          <cell r="N67">
            <v>52.48</v>
          </cell>
          <cell r="O67">
            <v>51</v>
          </cell>
          <cell r="P67">
            <v>49.62</v>
          </cell>
          <cell r="Q67">
            <v>46.63</v>
          </cell>
          <cell r="R67">
            <v>30.83</v>
          </cell>
          <cell r="S67">
            <v>31.21</v>
          </cell>
        </row>
        <row r="68">
          <cell r="D68">
            <v>100</v>
          </cell>
          <cell r="E68">
            <v>0.9929</v>
          </cell>
          <cell r="H68">
            <v>45.58</v>
          </cell>
          <cell r="I68">
            <v>46</v>
          </cell>
          <cell r="J68">
            <v>47</v>
          </cell>
          <cell r="K68">
            <v>48.87</v>
          </cell>
          <cell r="L68">
            <v>50.6</v>
          </cell>
          <cell r="M68">
            <v>50.88</v>
          </cell>
          <cell r="N68">
            <v>49.96</v>
          </cell>
          <cell r="O68">
            <v>49.39</v>
          </cell>
          <cell r="P68">
            <v>48.65</v>
          </cell>
          <cell r="Q68">
            <v>47.63</v>
          </cell>
          <cell r="R68">
            <v>39.799999999999997</v>
          </cell>
          <cell r="S68">
            <v>41.91</v>
          </cell>
        </row>
        <row r="69">
          <cell r="D69">
            <v>100</v>
          </cell>
          <cell r="E69">
            <v>0.6</v>
          </cell>
          <cell r="H69">
            <v>32.86</v>
          </cell>
          <cell r="I69">
            <v>32.22</v>
          </cell>
          <cell r="J69">
            <v>32.22</v>
          </cell>
          <cell r="K69">
            <v>33.03</v>
          </cell>
          <cell r="L69">
            <v>33.770000000000003</v>
          </cell>
          <cell r="M69">
            <v>33.14</v>
          </cell>
          <cell r="N69">
            <v>33.409999999999997</v>
          </cell>
          <cell r="O69">
            <v>34.04</v>
          </cell>
          <cell r="P69">
            <v>34.76</v>
          </cell>
          <cell r="Q69">
            <v>35.71</v>
          </cell>
          <cell r="R69">
            <v>35.35</v>
          </cell>
          <cell r="S69">
            <v>37.25</v>
          </cell>
        </row>
        <row r="70">
          <cell r="D70">
            <v>100</v>
          </cell>
          <cell r="E70">
            <v>0.87</v>
          </cell>
          <cell r="H70">
            <v>48.43</v>
          </cell>
          <cell r="I70">
            <v>48.38</v>
          </cell>
          <cell r="J70">
            <v>48.96</v>
          </cell>
          <cell r="K70">
            <v>50.46</v>
          </cell>
          <cell r="L70">
            <v>51.81</v>
          </cell>
          <cell r="M70">
            <v>51.72</v>
          </cell>
          <cell r="N70">
            <v>49.93</v>
          </cell>
          <cell r="O70">
            <v>48.47</v>
          </cell>
          <cell r="P70">
            <v>47.1</v>
          </cell>
          <cell r="Q70">
            <v>45.61</v>
          </cell>
          <cell r="R70">
            <v>35.74</v>
          </cell>
          <cell r="S70">
            <v>37.69</v>
          </cell>
        </row>
        <row r="71">
          <cell r="D71">
            <v>100</v>
          </cell>
          <cell r="E71">
            <v>0.49890000000000001</v>
          </cell>
          <cell r="H71">
            <v>31.76</v>
          </cell>
          <cell r="I71">
            <v>31.35</v>
          </cell>
          <cell r="J71">
            <v>31.37</v>
          </cell>
          <cell r="K71">
            <v>32.21</v>
          </cell>
          <cell r="L71">
            <v>32.96</v>
          </cell>
          <cell r="M71">
            <v>32.07</v>
          </cell>
          <cell r="N71">
            <v>30.93</v>
          </cell>
          <cell r="O71">
            <v>30.26</v>
          </cell>
          <cell r="P71">
            <v>29.49</v>
          </cell>
          <cell r="Q71">
            <v>29.7</v>
          </cell>
          <cell r="R71">
            <v>24.93</v>
          </cell>
          <cell r="S71">
            <v>27.15</v>
          </cell>
        </row>
        <row r="72">
          <cell r="D72">
            <v>100</v>
          </cell>
          <cell r="E72">
            <v>0.98</v>
          </cell>
          <cell r="H72">
            <v>45.3</v>
          </cell>
          <cell r="I72">
            <v>45.68</v>
          </cell>
          <cell r="J72">
            <v>46.67</v>
          </cell>
          <cell r="K72">
            <v>48.55</v>
          </cell>
          <cell r="L72">
            <v>50.31</v>
          </cell>
          <cell r="M72">
            <v>50.64</v>
          </cell>
          <cell r="N72">
            <v>45.8</v>
          </cell>
          <cell r="O72">
            <v>45.26</v>
          </cell>
          <cell r="P72">
            <v>27.6</v>
          </cell>
          <cell r="Q72">
            <v>26.22</v>
          </cell>
          <cell r="R72">
            <v>15.66</v>
          </cell>
          <cell r="S72">
            <v>17.2</v>
          </cell>
        </row>
        <row r="73">
          <cell r="D73">
            <v>100</v>
          </cell>
          <cell r="E73">
            <v>0.98</v>
          </cell>
          <cell r="H73">
            <v>44.94</v>
          </cell>
          <cell r="I73">
            <v>46.38</v>
          </cell>
          <cell r="J73">
            <v>48.37</v>
          </cell>
          <cell r="K73">
            <v>51.24</v>
          </cell>
          <cell r="L73">
            <v>54</v>
          </cell>
          <cell r="M73">
            <v>55.32</v>
          </cell>
          <cell r="N73">
            <v>54.17</v>
          </cell>
          <cell r="O73">
            <v>53.35</v>
          </cell>
          <cell r="P73">
            <v>52.63</v>
          </cell>
          <cell r="Q73">
            <v>49.95</v>
          </cell>
          <cell r="R73">
            <v>35.549999999999997</v>
          </cell>
          <cell r="S73">
            <v>34.93</v>
          </cell>
        </row>
        <row r="74">
          <cell r="D74">
            <v>100</v>
          </cell>
          <cell r="E74">
            <v>1</v>
          </cell>
          <cell r="H74">
            <v>42.9</v>
          </cell>
          <cell r="I74">
            <v>42.67</v>
          </cell>
          <cell r="J74">
            <v>43.12</v>
          </cell>
          <cell r="K74">
            <v>44.46</v>
          </cell>
          <cell r="L74">
            <v>45.71</v>
          </cell>
          <cell r="M74">
            <v>45.55</v>
          </cell>
          <cell r="N74">
            <v>43.13</v>
          </cell>
          <cell r="O74">
            <v>41.07</v>
          </cell>
          <cell r="P74">
            <v>39.090000000000003</v>
          </cell>
          <cell r="Q74">
            <v>37.11</v>
          </cell>
          <cell r="R74">
            <v>24.23</v>
          </cell>
          <cell r="S74">
            <v>25.63</v>
          </cell>
        </row>
        <row r="75">
          <cell r="D75">
            <v>100</v>
          </cell>
          <cell r="E75">
            <v>1</v>
          </cell>
          <cell r="H75">
            <v>50.53</v>
          </cell>
          <cell r="I75">
            <v>51.75</v>
          </cell>
          <cell r="J75">
            <v>53.04</v>
          </cell>
          <cell r="K75">
            <v>55.24</v>
          </cell>
          <cell r="L75">
            <v>57.26</v>
          </cell>
          <cell r="M75">
            <v>57.83</v>
          </cell>
          <cell r="N75">
            <v>56.24</v>
          </cell>
          <cell r="O75">
            <v>54.99</v>
          </cell>
          <cell r="P75">
            <v>53.82</v>
          </cell>
          <cell r="Q75">
            <v>50.14</v>
          </cell>
          <cell r="R75">
            <v>38.92</v>
          </cell>
          <cell r="S75">
            <v>41.01</v>
          </cell>
        </row>
        <row r="80">
          <cell r="D80">
            <v>100</v>
          </cell>
          <cell r="E80">
            <v>1</v>
          </cell>
          <cell r="H80">
            <v>59.17</v>
          </cell>
          <cell r="I80">
            <v>60.1</v>
          </cell>
          <cell r="J80">
            <v>60.11</v>
          </cell>
          <cell r="K80">
            <v>59.88</v>
          </cell>
          <cell r="L80">
            <v>62.1</v>
          </cell>
          <cell r="M80">
            <v>62.04</v>
          </cell>
          <cell r="N80">
            <v>58.87</v>
          </cell>
          <cell r="O80">
            <v>56.1</v>
          </cell>
          <cell r="P80">
            <v>55.3</v>
          </cell>
          <cell r="Q80">
            <v>51.85</v>
          </cell>
          <cell r="R80">
            <v>47.87</v>
          </cell>
          <cell r="S80">
            <v>54.54</v>
          </cell>
        </row>
        <row r="82">
          <cell r="D82">
            <v>100</v>
          </cell>
          <cell r="E82">
            <v>1</v>
          </cell>
          <cell r="H82">
            <v>53.73</v>
          </cell>
          <cell r="I82">
            <v>56.19</v>
          </cell>
          <cell r="J82">
            <v>57.75</v>
          </cell>
          <cell r="K82">
            <v>59.88</v>
          </cell>
          <cell r="L82">
            <v>61.76</v>
          </cell>
          <cell r="M82">
            <v>62.54</v>
          </cell>
          <cell r="N82">
            <v>60.59</v>
          </cell>
          <cell r="O82">
            <v>58.86</v>
          </cell>
          <cell r="P82">
            <v>57.18</v>
          </cell>
          <cell r="Q82">
            <v>51.59</v>
          </cell>
          <cell r="R82">
            <v>37.67</v>
          </cell>
          <cell r="S82">
            <v>39.520000000000003</v>
          </cell>
        </row>
        <row r="83">
          <cell r="D83">
            <v>100</v>
          </cell>
          <cell r="E83">
            <v>1</v>
          </cell>
          <cell r="H83">
            <v>43.21</v>
          </cell>
          <cell r="I83">
            <v>45.76</v>
          </cell>
          <cell r="J83">
            <v>48.29</v>
          </cell>
          <cell r="K83">
            <v>51.4</v>
          </cell>
          <cell r="L83">
            <v>54.35</v>
          </cell>
          <cell r="M83">
            <v>56.2</v>
          </cell>
          <cell r="N83">
            <v>55.73</v>
          </cell>
          <cell r="O83">
            <v>55.51</v>
          </cell>
          <cell r="P83">
            <v>55.34</v>
          </cell>
          <cell r="Q83">
            <v>52.43</v>
          </cell>
          <cell r="R83">
            <v>37.979999999999997</v>
          </cell>
          <cell r="S83">
            <v>39.869999999999997</v>
          </cell>
        </row>
      </sheetData>
      <sheetData sheetId="4">
        <row r="2">
          <cell r="E2">
            <v>4.1100000000000003</v>
          </cell>
          <cell r="F2">
            <v>4.2</v>
          </cell>
          <cell r="G2">
            <v>4.25</v>
          </cell>
          <cell r="H2">
            <v>4.37</v>
          </cell>
          <cell r="I2">
            <v>4.42</v>
          </cell>
          <cell r="J2">
            <v>4.4400000000000004</v>
          </cell>
          <cell r="K2">
            <v>4.3899999999999997</v>
          </cell>
          <cell r="L2">
            <v>3.86</v>
          </cell>
          <cell r="M2">
            <v>3.38</v>
          </cell>
          <cell r="N2">
            <v>2.87</v>
          </cell>
          <cell r="O2">
            <v>2.4</v>
          </cell>
          <cell r="P2">
            <v>-1.91</v>
          </cell>
          <cell r="Q2">
            <v>-2.1800000000000002</v>
          </cell>
        </row>
        <row r="3">
          <cell r="E3">
            <v>5.56</v>
          </cell>
          <cell r="F3">
            <v>5.63</v>
          </cell>
          <cell r="G3">
            <v>5.68</v>
          </cell>
          <cell r="H3">
            <v>5.82</v>
          </cell>
          <cell r="I3">
            <v>5.89</v>
          </cell>
          <cell r="J3">
            <v>5.93</v>
          </cell>
          <cell r="K3">
            <v>5.86</v>
          </cell>
          <cell r="L3">
            <v>5.29</v>
          </cell>
          <cell r="M3">
            <v>4.78</v>
          </cell>
          <cell r="N3">
            <v>4.24</v>
          </cell>
          <cell r="O3">
            <v>3.81</v>
          </cell>
          <cell r="P3">
            <v>0.27</v>
          </cell>
          <cell r="Q3">
            <v>0.28999999999999998</v>
          </cell>
        </row>
        <row r="4">
          <cell r="E4">
            <v>5.72</v>
          </cell>
          <cell r="F4">
            <v>5.88</v>
          </cell>
          <cell r="G4">
            <v>6.04</v>
          </cell>
          <cell r="H4">
            <v>6.29</v>
          </cell>
          <cell r="I4">
            <v>6.46</v>
          </cell>
          <cell r="J4">
            <v>6.61</v>
          </cell>
          <cell r="K4">
            <v>6.65</v>
          </cell>
          <cell r="L4">
            <v>6.17</v>
          </cell>
          <cell r="M4">
            <v>5.76</v>
          </cell>
          <cell r="N4">
            <v>5.32</v>
          </cell>
          <cell r="O4">
            <v>4.88</v>
          </cell>
          <cell r="P4">
            <v>0.99</v>
          </cell>
          <cell r="Q4">
            <v>0.9</v>
          </cell>
        </row>
        <row r="5">
          <cell r="E5">
            <v>5.71</v>
          </cell>
          <cell r="F5">
            <v>5.74</v>
          </cell>
          <cell r="G5">
            <v>5.89</v>
          </cell>
          <cell r="H5">
            <v>6.15</v>
          </cell>
          <cell r="I5">
            <v>6.34</v>
          </cell>
          <cell r="J5">
            <v>6.51</v>
          </cell>
          <cell r="K5">
            <v>6.56</v>
          </cell>
          <cell r="L5">
            <v>6.1</v>
          </cell>
          <cell r="M5">
            <v>5.71</v>
          </cell>
          <cell r="N5">
            <v>5.29</v>
          </cell>
          <cell r="O5">
            <v>4.87</v>
          </cell>
          <cell r="P5">
            <v>0.91</v>
          </cell>
          <cell r="Q5">
            <v>0.78</v>
          </cell>
        </row>
        <row r="6">
          <cell r="E6">
            <v>4.3600000000000003</v>
          </cell>
          <cell r="F6">
            <v>4.28</v>
          </cell>
          <cell r="G6">
            <v>4.38</v>
          </cell>
          <cell r="H6">
            <v>4.57</v>
          </cell>
          <cell r="I6">
            <v>4.68</v>
          </cell>
          <cell r="J6">
            <v>4.7699999999999996</v>
          </cell>
          <cell r="K6">
            <v>4.79</v>
          </cell>
          <cell r="L6">
            <v>4.32</v>
          </cell>
          <cell r="M6">
            <v>3.91</v>
          </cell>
          <cell r="N6">
            <v>3.46</v>
          </cell>
          <cell r="O6">
            <v>3.01</v>
          </cell>
          <cell r="P6">
            <v>-1.36</v>
          </cell>
          <cell r="Q6">
            <v>-1.64</v>
          </cell>
        </row>
        <row r="7">
          <cell r="E7">
            <v>4.51</v>
          </cell>
          <cell r="F7">
            <v>4.47</v>
          </cell>
          <cell r="G7">
            <v>4.57</v>
          </cell>
          <cell r="H7">
            <v>4.74</v>
          </cell>
          <cell r="I7">
            <v>4.84</v>
          </cell>
          <cell r="J7">
            <v>4.91</v>
          </cell>
          <cell r="K7">
            <v>4.9000000000000004</v>
          </cell>
          <cell r="L7">
            <v>4.42</v>
          </cell>
          <cell r="M7">
            <v>3.99</v>
          </cell>
          <cell r="N7">
            <v>3.53</v>
          </cell>
          <cell r="O7">
            <v>3.09</v>
          </cell>
          <cell r="P7">
            <v>-1.18</v>
          </cell>
          <cell r="Q7">
            <v>-1.46</v>
          </cell>
        </row>
        <row r="8">
          <cell r="E8">
            <v>4.72</v>
          </cell>
          <cell r="F8">
            <v>4.54</v>
          </cell>
          <cell r="G8">
            <v>4.6500000000000004</v>
          </cell>
          <cell r="H8">
            <v>4.82</v>
          </cell>
          <cell r="I8">
            <v>4.93</v>
          </cell>
          <cell r="J8">
            <v>5</v>
          </cell>
          <cell r="K8">
            <v>5</v>
          </cell>
          <cell r="L8">
            <v>4.5199999999999996</v>
          </cell>
          <cell r="M8">
            <v>4.08</v>
          </cell>
          <cell r="N8">
            <v>3.62</v>
          </cell>
          <cell r="O8">
            <v>3.15</v>
          </cell>
          <cell r="P8">
            <v>-1.19</v>
          </cell>
          <cell r="Q8">
            <v>-1.47</v>
          </cell>
        </row>
        <row r="9">
          <cell r="E9">
            <v>4.3899999999999997</v>
          </cell>
          <cell r="F9">
            <v>4.41</v>
          </cell>
          <cell r="G9">
            <v>4.6100000000000003</v>
          </cell>
          <cell r="H9">
            <v>4.93</v>
          </cell>
          <cell r="I9">
            <v>5.18</v>
          </cell>
          <cell r="J9">
            <v>5.4</v>
          </cell>
          <cell r="K9">
            <v>5.55</v>
          </cell>
          <cell r="L9">
            <v>5.21</v>
          </cell>
          <cell r="M9">
            <v>4.92</v>
          </cell>
          <cell r="N9">
            <v>4.5999999999999996</v>
          </cell>
          <cell r="O9">
            <v>4.1900000000000004</v>
          </cell>
          <cell r="P9">
            <v>-0.6</v>
          </cell>
          <cell r="Q9">
            <v>-1.02</v>
          </cell>
        </row>
        <row r="10">
          <cell r="E10">
            <v>4.37</v>
          </cell>
          <cell r="F10">
            <v>4.4000000000000004</v>
          </cell>
          <cell r="G10">
            <v>4.67</v>
          </cell>
          <cell r="H10">
            <v>4.6500000000000004</v>
          </cell>
          <cell r="I10">
            <v>4.7</v>
          </cell>
          <cell r="J10">
            <v>4.63</v>
          </cell>
          <cell r="K10">
            <v>4.57</v>
          </cell>
          <cell r="L10">
            <v>4.38</v>
          </cell>
          <cell r="M10">
            <v>4.22</v>
          </cell>
          <cell r="N10">
            <v>4.03</v>
          </cell>
          <cell r="O10">
            <v>3.74</v>
          </cell>
          <cell r="P10">
            <v>-0.85</v>
          </cell>
          <cell r="Q10">
            <v>-1.2</v>
          </cell>
        </row>
        <row r="11">
          <cell r="E11">
            <v>4.43</v>
          </cell>
          <cell r="F11">
            <v>4.49</v>
          </cell>
          <cell r="G11">
            <v>4.72</v>
          </cell>
          <cell r="H11">
            <v>4.7</v>
          </cell>
          <cell r="I11">
            <v>4.76</v>
          </cell>
          <cell r="J11">
            <v>4.6900000000000004</v>
          </cell>
          <cell r="K11">
            <v>4.62</v>
          </cell>
          <cell r="L11">
            <v>4.43</v>
          </cell>
          <cell r="M11">
            <v>4.2699999999999996</v>
          </cell>
          <cell r="N11">
            <v>4.07</v>
          </cell>
          <cell r="O11">
            <v>3.81</v>
          </cell>
          <cell r="P11">
            <v>-0.95</v>
          </cell>
          <cell r="Q11">
            <v>-1.33</v>
          </cell>
        </row>
        <row r="12">
          <cell r="E12">
            <v>4.07</v>
          </cell>
          <cell r="F12">
            <v>4.1399999999999997</v>
          </cell>
          <cell r="G12">
            <v>4.3899999999999997</v>
          </cell>
          <cell r="H12">
            <v>4.3899999999999997</v>
          </cell>
          <cell r="I12">
            <v>4.4800000000000004</v>
          </cell>
          <cell r="J12">
            <v>4.43</v>
          </cell>
          <cell r="K12">
            <v>4.4000000000000004</v>
          </cell>
          <cell r="L12">
            <v>4.25</v>
          </cell>
          <cell r="M12">
            <v>4.13</v>
          </cell>
          <cell r="N12">
            <v>3.97</v>
          </cell>
          <cell r="O12">
            <v>3.72</v>
          </cell>
          <cell r="P12">
            <v>-1.1599999999999999</v>
          </cell>
          <cell r="Q12">
            <v>-1.55</v>
          </cell>
        </row>
        <row r="13">
          <cell r="E13">
            <v>4.09</v>
          </cell>
          <cell r="F13">
            <v>4.2</v>
          </cell>
          <cell r="G13">
            <v>4.41</v>
          </cell>
          <cell r="H13">
            <v>4.37</v>
          </cell>
          <cell r="I13">
            <v>4.42</v>
          </cell>
          <cell r="J13">
            <v>4.33</v>
          </cell>
          <cell r="K13">
            <v>4.26</v>
          </cell>
          <cell r="L13">
            <v>4.07</v>
          </cell>
          <cell r="M13">
            <v>3.9</v>
          </cell>
          <cell r="N13">
            <v>3.69</v>
          </cell>
          <cell r="O13">
            <v>3.45</v>
          </cell>
          <cell r="P13">
            <v>-1.23</v>
          </cell>
          <cell r="Q13">
            <v>-1.59</v>
          </cell>
        </row>
        <row r="14">
          <cell r="E14">
            <v>5.5</v>
          </cell>
          <cell r="F14">
            <v>5.64</v>
          </cell>
          <cell r="G14">
            <v>5.9</v>
          </cell>
          <cell r="H14">
            <v>5.91</v>
          </cell>
          <cell r="I14">
            <v>6.01</v>
          </cell>
          <cell r="J14">
            <v>5.98</v>
          </cell>
          <cell r="K14">
            <v>5.93</v>
          </cell>
          <cell r="L14">
            <v>5.74</v>
          </cell>
          <cell r="M14">
            <v>5.58</v>
          </cell>
          <cell r="N14">
            <v>5.39</v>
          </cell>
          <cell r="O14">
            <v>5.16</v>
          </cell>
          <cell r="P14">
            <v>0.88</v>
          </cell>
          <cell r="Q14">
            <v>0.66</v>
          </cell>
        </row>
        <row r="15">
          <cell r="E15">
            <v>4.01</v>
          </cell>
          <cell r="F15">
            <v>4.1100000000000003</v>
          </cell>
          <cell r="G15">
            <v>4.3099999999999996</v>
          </cell>
          <cell r="H15">
            <v>4.2699999999999996</v>
          </cell>
          <cell r="I15">
            <v>4.3099999999999996</v>
          </cell>
          <cell r="J15">
            <v>4.22</v>
          </cell>
          <cell r="K15">
            <v>4.1399999999999997</v>
          </cell>
          <cell r="L15">
            <v>3.94</v>
          </cell>
          <cell r="M15">
            <v>3.77</v>
          </cell>
          <cell r="N15">
            <v>3.56</v>
          </cell>
          <cell r="O15">
            <v>3.31</v>
          </cell>
          <cell r="P15">
            <v>-1.35</v>
          </cell>
          <cell r="Q15">
            <v>-1.74</v>
          </cell>
        </row>
        <row r="16">
          <cell r="E16">
            <v>5.49</v>
          </cell>
          <cell r="F16">
            <v>5.67</v>
          </cell>
          <cell r="G16">
            <v>5.96</v>
          </cell>
          <cell r="H16">
            <v>5.98</v>
          </cell>
          <cell r="I16">
            <v>6.09</v>
          </cell>
          <cell r="J16">
            <v>6.07</v>
          </cell>
          <cell r="K16">
            <v>6.03</v>
          </cell>
          <cell r="L16">
            <v>5.85</v>
          </cell>
          <cell r="M16">
            <v>5.7</v>
          </cell>
          <cell r="N16">
            <v>5.52</v>
          </cell>
          <cell r="O16">
            <v>5.27</v>
          </cell>
          <cell r="P16">
            <v>0.96</v>
          </cell>
          <cell r="Q16">
            <v>0.74</v>
          </cell>
        </row>
        <row r="17">
          <cell r="E17">
            <v>4.49</v>
          </cell>
          <cell r="F17">
            <v>4.33</v>
          </cell>
          <cell r="G17">
            <v>4.55</v>
          </cell>
          <cell r="H17">
            <v>4.53</v>
          </cell>
          <cell r="I17">
            <v>4.58</v>
          </cell>
          <cell r="J17">
            <v>4.5</v>
          </cell>
          <cell r="K17">
            <v>4.43</v>
          </cell>
          <cell r="L17">
            <v>4.25</v>
          </cell>
          <cell r="M17">
            <v>4.08</v>
          </cell>
          <cell r="N17">
            <v>3.88</v>
          </cell>
          <cell r="O17">
            <v>3.62</v>
          </cell>
          <cell r="P17">
            <v>-1.17</v>
          </cell>
          <cell r="Q17">
            <v>-1.55</v>
          </cell>
        </row>
        <row r="18">
          <cell r="E18">
            <v>5.1100000000000003</v>
          </cell>
          <cell r="F18">
            <v>4.4000000000000004</v>
          </cell>
          <cell r="G18">
            <v>4.63</v>
          </cell>
          <cell r="H18">
            <v>4.5999999999999996</v>
          </cell>
          <cell r="I18">
            <v>4.6399999999999997</v>
          </cell>
          <cell r="J18">
            <v>4.5599999999999996</v>
          </cell>
          <cell r="K18">
            <v>4.4800000000000004</v>
          </cell>
          <cell r="L18">
            <v>4.28</v>
          </cell>
          <cell r="M18">
            <v>4.1100000000000003</v>
          </cell>
          <cell r="N18">
            <v>3.9</v>
          </cell>
          <cell r="O18">
            <v>3.63</v>
          </cell>
          <cell r="P18">
            <v>-1.08</v>
          </cell>
          <cell r="Q18">
            <v>-1.43</v>
          </cell>
        </row>
        <row r="19">
          <cell r="E19">
            <v>5.94</v>
          </cell>
          <cell r="F19">
            <v>5.54</v>
          </cell>
          <cell r="G19">
            <v>5.74</v>
          </cell>
          <cell r="H19">
            <v>5.8</v>
          </cell>
          <cell r="I19">
            <v>5.81</v>
          </cell>
          <cell r="J19">
            <v>5.77</v>
          </cell>
          <cell r="K19">
            <v>5.59</v>
          </cell>
          <cell r="L19">
            <v>5.42</v>
          </cell>
          <cell r="M19">
            <v>5.43</v>
          </cell>
          <cell r="N19">
            <v>5.4</v>
          </cell>
          <cell r="O19">
            <v>5.22</v>
          </cell>
          <cell r="P19">
            <v>0.69</v>
          </cell>
          <cell r="Q19">
            <v>-0.95</v>
          </cell>
        </row>
        <row r="20">
          <cell r="E20">
            <v>3.87</v>
          </cell>
          <cell r="F20">
            <v>3.85</v>
          </cell>
          <cell r="G20">
            <v>4.04</v>
          </cell>
          <cell r="H20">
            <v>4.13</v>
          </cell>
          <cell r="I20">
            <v>4.17</v>
          </cell>
          <cell r="J20">
            <v>4.1500000000000004</v>
          </cell>
          <cell r="K20">
            <v>4.05</v>
          </cell>
          <cell r="L20">
            <v>3.99</v>
          </cell>
          <cell r="M20">
            <v>4.0599999999999996</v>
          </cell>
          <cell r="N20">
            <v>4.09</v>
          </cell>
          <cell r="O20">
            <v>3.95</v>
          </cell>
          <cell r="P20">
            <v>-1.21</v>
          </cell>
          <cell r="Q20">
            <v>-3.04</v>
          </cell>
        </row>
        <row r="21">
          <cell r="E21">
            <v>5.65</v>
          </cell>
          <cell r="F21">
            <v>5.68</v>
          </cell>
          <cell r="G21">
            <v>5.84</v>
          </cell>
          <cell r="H21">
            <v>5.88</v>
          </cell>
          <cell r="I21">
            <v>5.87</v>
          </cell>
          <cell r="J21">
            <v>5.81</v>
          </cell>
          <cell r="K21">
            <v>5.61</v>
          </cell>
          <cell r="L21">
            <v>5.42</v>
          </cell>
          <cell r="M21">
            <v>5.41</v>
          </cell>
          <cell r="N21">
            <v>5.36</v>
          </cell>
          <cell r="O21">
            <v>5.2</v>
          </cell>
          <cell r="P21">
            <v>0.6</v>
          </cell>
          <cell r="Q21">
            <v>-1.07</v>
          </cell>
        </row>
        <row r="22">
          <cell r="E22">
            <v>4.54</v>
          </cell>
          <cell r="F22">
            <v>4.47</v>
          </cell>
          <cell r="G22">
            <v>4.6500000000000004</v>
          </cell>
          <cell r="H22">
            <v>4.71</v>
          </cell>
          <cell r="I22">
            <v>4.72</v>
          </cell>
          <cell r="J22">
            <v>4.68</v>
          </cell>
          <cell r="K22">
            <v>4.53</v>
          </cell>
          <cell r="L22">
            <v>4.41</v>
          </cell>
          <cell r="M22">
            <v>4.45</v>
          </cell>
          <cell r="N22">
            <v>3.87</v>
          </cell>
          <cell r="O22">
            <v>3.74</v>
          </cell>
          <cell r="P22">
            <v>-0.79</v>
          </cell>
          <cell r="Q22">
            <v>-2.42</v>
          </cell>
        </row>
        <row r="23">
          <cell r="E23">
            <v>4.93</v>
          </cell>
          <cell r="F23">
            <v>4.5199999999999996</v>
          </cell>
          <cell r="G23">
            <v>4.6900000000000004</v>
          </cell>
          <cell r="H23">
            <v>4.71</v>
          </cell>
          <cell r="I23">
            <v>4.67</v>
          </cell>
          <cell r="J23">
            <v>4.58</v>
          </cell>
          <cell r="K23">
            <v>4.3899999999999997</v>
          </cell>
          <cell r="L23">
            <v>4.2300000000000004</v>
          </cell>
          <cell r="M23">
            <v>4.22</v>
          </cell>
          <cell r="N23">
            <v>4.16</v>
          </cell>
          <cell r="O23">
            <v>3.96</v>
          </cell>
          <cell r="P23">
            <v>-0.1</v>
          </cell>
          <cell r="Q23">
            <v>-1.57</v>
          </cell>
        </row>
        <row r="24">
          <cell r="E24">
            <v>3.96</v>
          </cell>
          <cell r="F24">
            <v>3.97</v>
          </cell>
          <cell r="G24">
            <v>4.1100000000000003</v>
          </cell>
          <cell r="H24">
            <v>4.13</v>
          </cell>
          <cell r="I24">
            <v>4.0999999999999996</v>
          </cell>
          <cell r="J24">
            <v>4.01</v>
          </cell>
          <cell r="K24">
            <v>3.84</v>
          </cell>
          <cell r="L24">
            <v>3.7</v>
          </cell>
          <cell r="M24">
            <v>3.71</v>
          </cell>
          <cell r="N24">
            <v>3.67</v>
          </cell>
          <cell r="O24">
            <v>3.51</v>
          </cell>
          <cell r="P24">
            <v>-1.36</v>
          </cell>
          <cell r="Q24">
            <v>-3.12</v>
          </cell>
        </row>
        <row r="25">
          <cell r="E25">
            <v>3.77</v>
          </cell>
          <cell r="F25">
            <v>3.81</v>
          </cell>
          <cell r="G25">
            <v>3.96</v>
          </cell>
          <cell r="H25">
            <v>4</v>
          </cell>
          <cell r="I25">
            <v>3.99</v>
          </cell>
          <cell r="J25">
            <v>3.92</v>
          </cell>
          <cell r="K25">
            <v>3.77</v>
          </cell>
          <cell r="L25">
            <v>3.66</v>
          </cell>
          <cell r="M25">
            <v>3.69</v>
          </cell>
          <cell r="N25">
            <v>3.67</v>
          </cell>
          <cell r="O25">
            <v>3.52</v>
          </cell>
          <cell r="P25">
            <v>-1.49</v>
          </cell>
          <cell r="Q25">
            <v>-3.29</v>
          </cell>
        </row>
        <row r="26">
          <cell r="E26">
            <v>5.37</v>
          </cell>
          <cell r="F26">
            <v>5.47</v>
          </cell>
          <cell r="G26">
            <v>5.73</v>
          </cell>
          <cell r="H26">
            <v>5.81</v>
          </cell>
          <cell r="I26">
            <v>5.83</v>
          </cell>
          <cell r="J26">
            <v>5.81</v>
          </cell>
          <cell r="K26">
            <v>5.65</v>
          </cell>
          <cell r="L26">
            <v>5.5</v>
          </cell>
          <cell r="M26">
            <v>5.53</v>
          </cell>
          <cell r="N26">
            <v>5.52</v>
          </cell>
          <cell r="O26">
            <v>5.29</v>
          </cell>
          <cell r="P26">
            <v>0.5</v>
          </cell>
          <cell r="Q26">
            <v>-1.23</v>
          </cell>
        </row>
        <row r="27">
          <cell r="E27">
            <v>3.82</v>
          </cell>
          <cell r="F27">
            <v>3.72</v>
          </cell>
          <cell r="G27">
            <v>3.86</v>
          </cell>
          <cell r="H27">
            <v>3.84</v>
          </cell>
          <cell r="I27">
            <v>3.79</v>
          </cell>
          <cell r="J27">
            <v>3.67</v>
          </cell>
          <cell r="K27">
            <v>3.48</v>
          </cell>
          <cell r="L27">
            <v>3.32</v>
          </cell>
          <cell r="M27">
            <v>3.3</v>
          </cell>
          <cell r="N27">
            <v>3.24</v>
          </cell>
          <cell r="O27">
            <v>3.06</v>
          </cell>
          <cell r="P27">
            <v>-1.7</v>
          </cell>
          <cell r="Q27">
            <v>-3.42</v>
          </cell>
        </row>
        <row r="28">
          <cell r="E28">
            <v>4.29</v>
          </cell>
          <cell r="F28">
            <v>4.09</v>
          </cell>
          <cell r="G28">
            <v>4.22</v>
          </cell>
          <cell r="H28">
            <v>4.2300000000000004</v>
          </cell>
          <cell r="I28">
            <v>4.2</v>
          </cell>
          <cell r="J28">
            <v>4.12</v>
          </cell>
          <cell r="K28">
            <v>3.94</v>
          </cell>
          <cell r="L28">
            <v>3.64</v>
          </cell>
          <cell r="M28">
            <v>3.64</v>
          </cell>
          <cell r="N28">
            <v>3.59</v>
          </cell>
          <cell r="O28">
            <v>3.59</v>
          </cell>
          <cell r="P28">
            <v>-0.98</v>
          </cell>
          <cell r="Q28">
            <v>-2.72</v>
          </cell>
        </row>
        <row r="29">
          <cell r="E29">
            <v>4.2300000000000004</v>
          </cell>
          <cell r="F29">
            <v>4</v>
          </cell>
          <cell r="G29">
            <v>4.2300000000000004</v>
          </cell>
          <cell r="H29">
            <v>4.49</v>
          </cell>
          <cell r="I29">
            <v>4.58</v>
          </cell>
          <cell r="J29">
            <v>4.6100000000000003</v>
          </cell>
          <cell r="K29">
            <v>4.5599999999999996</v>
          </cell>
          <cell r="L29">
            <v>4.68</v>
          </cell>
          <cell r="M29">
            <v>4.8</v>
          </cell>
          <cell r="N29">
            <v>4.88</v>
          </cell>
          <cell r="O29">
            <v>4.41</v>
          </cell>
          <cell r="P29">
            <v>-0.72</v>
          </cell>
          <cell r="Q29">
            <v>-2.61</v>
          </cell>
        </row>
        <row r="30">
          <cell r="E30">
            <v>3.75</v>
          </cell>
          <cell r="F30">
            <v>3.88</v>
          </cell>
          <cell r="G30">
            <v>4</v>
          </cell>
          <cell r="H30">
            <v>4</v>
          </cell>
          <cell r="I30">
            <v>3.96</v>
          </cell>
          <cell r="J30">
            <v>3.86</v>
          </cell>
          <cell r="K30">
            <v>3.68</v>
          </cell>
          <cell r="L30">
            <v>3.5</v>
          </cell>
          <cell r="M30">
            <v>3.49</v>
          </cell>
          <cell r="N30">
            <v>3.44</v>
          </cell>
          <cell r="O30">
            <v>3.29</v>
          </cell>
          <cell r="P30">
            <v>-1.49</v>
          </cell>
          <cell r="Q30">
            <v>-3.25</v>
          </cell>
        </row>
        <row r="31">
          <cell r="E31">
            <v>4.3499999999999996</v>
          </cell>
          <cell r="F31">
            <v>4.3600000000000003</v>
          </cell>
          <cell r="G31">
            <v>4.49</v>
          </cell>
          <cell r="H31">
            <v>4.5199999999999996</v>
          </cell>
          <cell r="I31">
            <v>4.5</v>
          </cell>
          <cell r="J31">
            <v>4.43</v>
          </cell>
          <cell r="K31">
            <v>4.26</v>
          </cell>
          <cell r="L31">
            <v>4.1100000000000003</v>
          </cell>
          <cell r="M31">
            <v>4.12</v>
          </cell>
          <cell r="N31">
            <v>4.08</v>
          </cell>
          <cell r="O31">
            <v>3.94</v>
          </cell>
          <cell r="P31">
            <v>-1.06</v>
          </cell>
          <cell r="Q31">
            <v>-2.83</v>
          </cell>
        </row>
        <row r="32">
          <cell r="E32">
            <v>4.05</v>
          </cell>
          <cell r="F32">
            <v>4.13</v>
          </cell>
          <cell r="G32">
            <v>4.28</v>
          </cell>
          <cell r="H32">
            <v>4.3099999999999996</v>
          </cell>
          <cell r="I32">
            <v>4.3</v>
          </cell>
          <cell r="J32">
            <v>4.2300000000000004</v>
          </cell>
          <cell r="K32">
            <v>4.07</v>
          </cell>
          <cell r="L32">
            <v>3.95</v>
          </cell>
          <cell r="M32">
            <v>3.97</v>
          </cell>
          <cell r="N32">
            <v>3.94</v>
          </cell>
          <cell r="O32">
            <v>3.8</v>
          </cell>
          <cell r="P32">
            <v>-1.22</v>
          </cell>
          <cell r="Q32">
            <v>-3.04</v>
          </cell>
        </row>
        <row r="33">
          <cell r="E33">
            <v>8.84</v>
          </cell>
          <cell r="F33">
            <v>9.5568000000000008</v>
          </cell>
          <cell r="G33">
            <v>10.095599999999999</v>
          </cell>
          <cell r="H33">
            <v>10.451000000000001</v>
          </cell>
          <cell r="I33">
            <v>10.872400000000001</v>
          </cell>
          <cell r="J33">
            <v>11.28</v>
          </cell>
          <cell r="K33">
            <v>11.28</v>
          </cell>
          <cell r="L33">
            <v>11.15</v>
          </cell>
          <cell r="M33">
            <v>11.12</v>
          </cell>
          <cell r="N33">
            <v>10.99</v>
          </cell>
          <cell r="O33">
            <v>10.220000000000001</v>
          </cell>
          <cell r="P33">
            <v>7.51</v>
          </cell>
          <cell r="Q33">
            <v>7.06</v>
          </cell>
        </row>
        <row r="34">
          <cell r="E34">
            <v>8.99</v>
          </cell>
          <cell r="F34">
            <v>9.5632999999999999</v>
          </cell>
          <cell r="G34">
            <v>9.9770000000000003</v>
          </cell>
          <cell r="H34">
            <v>10.208</v>
          </cell>
          <cell r="I34">
            <v>10.500999999999999</v>
          </cell>
          <cell r="J34">
            <v>10.77</v>
          </cell>
          <cell r="K34">
            <v>10.65</v>
          </cell>
          <cell r="L34">
            <v>10.38</v>
          </cell>
          <cell r="M34">
            <v>10.23</v>
          </cell>
          <cell r="N34">
            <v>8.66</v>
          </cell>
          <cell r="O34">
            <v>8.49</v>
          </cell>
          <cell r="P34">
            <v>5.84</v>
          </cell>
          <cell r="Q34">
            <v>5.53</v>
          </cell>
        </row>
        <row r="35">
          <cell r="E35">
            <v>7.05</v>
          </cell>
          <cell r="F35">
            <v>7.3659999999999997</v>
          </cell>
          <cell r="G35">
            <v>7.85</v>
          </cell>
          <cell r="H35">
            <v>8.1129999999999995</v>
          </cell>
          <cell r="I35">
            <v>8.43</v>
          </cell>
          <cell r="J35">
            <v>8.7200000000000006</v>
          </cell>
          <cell r="K35">
            <v>8.74</v>
          </cell>
          <cell r="L35">
            <v>8.6199999999999992</v>
          </cell>
          <cell r="M35">
            <v>8.6</v>
          </cell>
          <cell r="N35">
            <v>8.4600000000000009</v>
          </cell>
          <cell r="O35">
            <v>7.61</v>
          </cell>
          <cell r="P35">
            <v>3.97</v>
          </cell>
          <cell r="Q35">
            <v>3.2</v>
          </cell>
        </row>
        <row r="36">
          <cell r="E36">
            <v>7.28</v>
          </cell>
          <cell r="F36">
            <v>7.5720000000000001</v>
          </cell>
          <cell r="G36">
            <v>8.0329999999999995</v>
          </cell>
          <cell r="H36">
            <v>8.2759999999999998</v>
          </cell>
          <cell r="I36">
            <v>8.5709999999999997</v>
          </cell>
          <cell r="J36">
            <v>8.84</v>
          </cell>
          <cell r="K36">
            <v>8.82</v>
          </cell>
          <cell r="L36">
            <v>8.67</v>
          </cell>
          <cell r="M36">
            <v>8.6199999999999992</v>
          </cell>
          <cell r="N36">
            <v>8.4499999999999993</v>
          </cell>
          <cell r="O36">
            <v>7.6</v>
          </cell>
          <cell r="P36">
            <v>3.87</v>
          </cell>
          <cell r="Q36">
            <v>3.16</v>
          </cell>
        </row>
        <row r="37">
          <cell r="E37">
            <v>5.68</v>
          </cell>
          <cell r="F37">
            <v>5.9969999999999999</v>
          </cell>
          <cell r="G37">
            <v>6.3330000000000002</v>
          </cell>
          <cell r="H37">
            <v>6.5030000000000001</v>
          </cell>
          <cell r="I37">
            <v>6.7160000000000002</v>
          </cell>
          <cell r="J37">
            <v>6.89</v>
          </cell>
          <cell r="K37">
            <v>6.88</v>
          </cell>
          <cell r="L37">
            <v>6.74</v>
          </cell>
          <cell r="M37">
            <v>6.67</v>
          </cell>
          <cell r="N37">
            <v>6.49</v>
          </cell>
          <cell r="O37">
            <v>5.66</v>
          </cell>
          <cell r="P37">
            <v>2.4300000000000002</v>
          </cell>
          <cell r="Q37">
            <v>1.82</v>
          </cell>
        </row>
        <row r="38">
          <cell r="E38">
            <v>7.98</v>
          </cell>
          <cell r="F38">
            <v>8.1679999999999993</v>
          </cell>
          <cell r="G38">
            <v>8.6669999999999998</v>
          </cell>
          <cell r="H38">
            <v>9.0319000000000003</v>
          </cell>
          <cell r="I38">
            <v>9.4550000000000001</v>
          </cell>
          <cell r="J38">
            <v>9.86</v>
          </cell>
          <cell r="K38">
            <v>9.94</v>
          </cell>
          <cell r="L38">
            <v>9.93</v>
          </cell>
          <cell r="M38">
            <v>9.98</v>
          </cell>
          <cell r="N38">
            <v>9.91</v>
          </cell>
          <cell r="O38">
            <v>9.17</v>
          </cell>
          <cell r="P38">
            <v>6.69</v>
          </cell>
          <cell r="Q38">
            <v>6.39</v>
          </cell>
        </row>
        <row r="39">
          <cell r="E39">
            <v>5.82</v>
          </cell>
          <cell r="F39">
            <v>6.0839999999999996</v>
          </cell>
          <cell r="G39">
            <v>6.46</v>
          </cell>
          <cell r="H39">
            <v>6.6870000000000003</v>
          </cell>
          <cell r="I39">
            <v>6.9589999999999996</v>
          </cell>
          <cell r="J39">
            <v>7.2</v>
          </cell>
          <cell r="K39">
            <v>7.24</v>
          </cell>
          <cell r="L39">
            <v>7.63</v>
          </cell>
          <cell r="M39">
            <v>7.6</v>
          </cell>
          <cell r="N39">
            <v>7.45</v>
          </cell>
          <cell r="O39">
            <v>6.62</v>
          </cell>
          <cell r="P39">
            <v>3.14</v>
          </cell>
          <cell r="Q39">
            <v>2.59</v>
          </cell>
        </row>
        <row r="40">
          <cell r="E40">
            <v>8.58</v>
          </cell>
          <cell r="F40">
            <v>8.8919999999999995</v>
          </cell>
          <cell r="G40">
            <v>9.4909999999999997</v>
          </cell>
          <cell r="H40">
            <v>9.875</v>
          </cell>
          <cell r="I40">
            <v>10.321999999999999</v>
          </cell>
          <cell r="J40">
            <v>10.75</v>
          </cell>
          <cell r="K40">
            <v>10.82</v>
          </cell>
          <cell r="L40">
            <v>10.75</v>
          </cell>
          <cell r="M40">
            <v>10.78</v>
          </cell>
          <cell r="N40">
            <v>10.71</v>
          </cell>
          <cell r="O40">
            <v>9.9</v>
          </cell>
          <cell r="P40">
            <v>6.25</v>
          </cell>
          <cell r="Q40">
            <v>5.89</v>
          </cell>
        </row>
        <row r="41">
          <cell r="E41">
            <v>5.45</v>
          </cell>
          <cell r="F41">
            <v>5.7957999999999998</v>
          </cell>
          <cell r="G41">
            <v>6.1828000000000003</v>
          </cell>
          <cell r="H41">
            <v>6.3883299999999998</v>
          </cell>
          <cell r="I41">
            <v>6.6382000000000003</v>
          </cell>
          <cell r="J41">
            <v>6.85</v>
          </cell>
          <cell r="K41">
            <v>6.88</v>
          </cell>
          <cell r="L41">
            <v>6.79</v>
          </cell>
          <cell r="M41">
            <v>6.78</v>
          </cell>
          <cell r="N41">
            <v>6.63</v>
          </cell>
          <cell r="O41">
            <v>6.45</v>
          </cell>
          <cell r="P41">
            <v>2.7</v>
          </cell>
          <cell r="Q41">
            <v>2.11</v>
          </cell>
        </row>
        <row r="42">
          <cell r="E42">
            <v>5.89</v>
          </cell>
          <cell r="F42">
            <v>5.9398</v>
          </cell>
          <cell r="G42">
            <v>6.2849000000000004</v>
          </cell>
          <cell r="H42">
            <v>6.5019999999999998</v>
          </cell>
          <cell r="I42">
            <v>6.7640000000000002</v>
          </cell>
          <cell r="J42">
            <v>6.99</v>
          </cell>
          <cell r="K42">
            <v>7.03</v>
          </cell>
          <cell r="L42">
            <v>6.94</v>
          </cell>
          <cell r="M42">
            <v>6.93</v>
          </cell>
          <cell r="N42">
            <v>6.8</v>
          </cell>
          <cell r="O42">
            <v>6.04</v>
          </cell>
          <cell r="P42">
            <v>3.16</v>
          </cell>
          <cell r="Q42">
            <v>2.59</v>
          </cell>
        </row>
        <row r="43">
          <cell r="E43">
            <v>7.94</v>
          </cell>
          <cell r="F43">
            <v>8.1880000000000006</v>
          </cell>
          <cell r="G43">
            <v>8.6747999999999994</v>
          </cell>
          <cell r="H43">
            <v>9.0053999999999998</v>
          </cell>
          <cell r="I43">
            <v>9.3928999999999991</v>
          </cell>
          <cell r="J43">
            <v>9.76</v>
          </cell>
          <cell r="K43">
            <v>9.8000000000000007</v>
          </cell>
          <cell r="L43">
            <v>8.11</v>
          </cell>
          <cell r="M43">
            <v>8.17</v>
          </cell>
          <cell r="N43">
            <v>8.01</v>
          </cell>
          <cell r="O43">
            <v>7.14</v>
          </cell>
          <cell r="P43">
            <v>7.33</v>
          </cell>
          <cell r="Q43">
            <v>6.87</v>
          </cell>
        </row>
        <row r="44">
          <cell r="E44">
            <v>6.47</v>
          </cell>
          <cell r="F44">
            <v>6.2530000000000001</v>
          </cell>
          <cell r="G44">
            <v>6.5350000000000001</v>
          </cell>
          <cell r="H44">
            <v>6.7720000000000002</v>
          </cell>
          <cell r="I44">
            <v>7.0387000000000004</v>
          </cell>
          <cell r="J44">
            <v>7.27</v>
          </cell>
          <cell r="K44">
            <v>7.22</v>
          </cell>
          <cell r="L44">
            <v>7.14</v>
          </cell>
          <cell r="M44">
            <v>7.14</v>
          </cell>
          <cell r="N44">
            <v>7.07</v>
          </cell>
          <cell r="O44">
            <v>6.87</v>
          </cell>
          <cell r="P44">
            <v>4.91</v>
          </cell>
          <cell r="Q44">
            <v>4.5</v>
          </cell>
        </row>
        <row r="45">
          <cell r="E45">
            <v>8.75</v>
          </cell>
          <cell r="F45">
            <v>8.2270000000000003</v>
          </cell>
          <cell r="G45">
            <v>8.5670000000000002</v>
          </cell>
          <cell r="H45">
            <v>8.8729999999999993</v>
          </cell>
          <cell r="I45">
            <v>9.2155000000000005</v>
          </cell>
          <cell r="J45">
            <v>9.5299999999999994</v>
          </cell>
          <cell r="K45">
            <v>9.4600000000000009</v>
          </cell>
          <cell r="L45">
            <v>9.3699999999999992</v>
          </cell>
          <cell r="M45">
            <v>9.3800000000000008</v>
          </cell>
          <cell r="N45">
            <v>9.33</v>
          </cell>
          <cell r="O45">
            <v>9.1</v>
          </cell>
          <cell r="P45">
            <v>6.29</v>
          </cell>
        </row>
        <row r="46">
          <cell r="E46">
            <v>5.56</v>
          </cell>
          <cell r="F46">
            <v>5.609</v>
          </cell>
          <cell r="G46">
            <v>5.87</v>
          </cell>
          <cell r="H46">
            <v>6.0819999999999999</v>
          </cell>
          <cell r="I46">
            <v>6.32</v>
          </cell>
          <cell r="J46">
            <v>6.52</v>
          </cell>
          <cell r="K46">
            <v>6.48</v>
          </cell>
          <cell r="L46">
            <v>6.39</v>
          </cell>
          <cell r="M46">
            <v>6.39</v>
          </cell>
          <cell r="N46">
            <v>6.3</v>
          </cell>
          <cell r="O46">
            <v>6.11</v>
          </cell>
          <cell r="P46">
            <v>3.22</v>
          </cell>
          <cell r="Q46">
            <v>2.58</v>
          </cell>
        </row>
        <row r="47">
          <cell r="E47">
            <v>6.44</v>
          </cell>
          <cell r="F47">
            <v>6.2370000000000001</v>
          </cell>
          <cell r="G47">
            <v>6.5780000000000003</v>
          </cell>
          <cell r="H47">
            <v>6.8769999999999998</v>
          </cell>
          <cell r="I47">
            <v>7.2066999999999997</v>
          </cell>
          <cell r="J47">
            <v>7.5</v>
          </cell>
          <cell r="K47">
            <v>7.52</v>
          </cell>
          <cell r="L47">
            <v>7.49</v>
          </cell>
          <cell r="M47">
            <v>7.56</v>
          </cell>
          <cell r="N47">
            <v>7.55</v>
          </cell>
          <cell r="O47">
            <v>7.37</v>
          </cell>
          <cell r="P47">
            <v>5.66</v>
          </cell>
        </row>
        <row r="48">
          <cell r="E48">
            <v>6.08</v>
          </cell>
          <cell r="F48">
            <v>6.0330000000000004</v>
          </cell>
          <cell r="G48">
            <v>6.3890000000000002</v>
          </cell>
          <cell r="H48">
            <v>6.7022000000000004</v>
          </cell>
          <cell r="I48">
            <v>7.0452000000000004</v>
          </cell>
          <cell r="J48">
            <v>7.35</v>
          </cell>
          <cell r="K48">
            <v>7.39</v>
          </cell>
          <cell r="L48">
            <v>7.39</v>
          </cell>
          <cell r="M48">
            <v>7.47</v>
          </cell>
          <cell r="N48">
            <v>7.48</v>
          </cell>
          <cell r="O48">
            <v>7.3</v>
          </cell>
          <cell r="P48">
            <v>4.08</v>
          </cell>
          <cell r="Q48">
            <v>3.29</v>
          </cell>
        </row>
        <row r="49">
          <cell r="E49">
            <v>8.65</v>
          </cell>
          <cell r="F49">
            <v>7.54</v>
          </cell>
          <cell r="G49">
            <v>7.8857999999999997</v>
          </cell>
          <cell r="H49">
            <v>8.1969999999999992</v>
          </cell>
          <cell r="I49">
            <v>8.5431000000000008</v>
          </cell>
          <cell r="J49">
            <v>8.86</v>
          </cell>
          <cell r="K49">
            <v>8.83</v>
          </cell>
          <cell r="L49">
            <v>8.77</v>
          </cell>
          <cell r="M49">
            <v>8.81</v>
          </cell>
          <cell r="N49">
            <v>8.8000000000000007</v>
          </cell>
          <cell r="O49">
            <v>8.64</v>
          </cell>
          <cell r="P49">
            <v>6.41</v>
          </cell>
          <cell r="Q49">
            <v>5.9</v>
          </cell>
        </row>
        <row r="50">
          <cell r="E50">
            <v>7.76</v>
          </cell>
          <cell r="F50">
            <v>7.7214999999999998</v>
          </cell>
          <cell r="G50">
            <v>8.0670000000000002</v>
          </cell>
          <cell r="H50">
            <v>8.3780000000000001</v>
          </cell>
          <cell r="I50">
            <v>8.7230000000000008</v>
          </cell>
          <cell r="J50">
            <v>9.0399999999999991</v>
          </cell>
          <cell r="K50">
            <v>9</v>
          </cell>
          <cell r="L50">
            <v>8.93</v>
          </cell>
          <cell r="M50">
            <v>8.9600000000000009</v>
          </cell>
          <cell r="N50">
            <v>8.92</v>
          </cell>
          <cell r="O50">
            <v>8.7200000000000006</v>
          </cell>
          <cell r="P50">
            <v>6.56</v>
          </cell>
          <cell r="Q50">
            <v>6.14</v>
          </cell>
        </row>
        <row r="51">
          <cell r="E51">
            <v>10.67</v>
          </cell>
          <cell r="F51">
            <v>6.68</v>
          </cell>
          <cell r="G51">
            <v>7.9489999999999998</v>
          </cell>
          <cell r="H51">
            <v>8.2856000000000005</v>
          </cell>
          <cell r="I51">
            <v>8.6560000000000006</v>
          </cell>
          <cell r="J51">
            <v>9</v>
          </cell>
          <cell r="K51">
            <v>8.99</v>
          </cell>
          <cell r="L51">
            <v>8.9499999999999993</v>
          </cell>
          <cell r="M51">
            <v>9.01</v>
          </cell>
          <cell r="N51">
            <v>9.01</v>
          </cell>
          <cell r="O51">
            <v>8.83</v>
          </cell>
          <cell r="P51">
            <v>7.34</v>
          </cell>
          <cell r="Q51">
            <v>7.25</v>
          </cell>
        </row>
        <row r="52">
          <cell r="E52">
            <v>5.81</v>
          </cell>
          <cell r="F52">
            <v>6.0919999999999996</v>
          </cell>
          <cell r="G52">
            <v>6.3630000000000004</v>
          </cell>
          <cell r="H52">
            <v>6.5869999999999997</v>
          </cell>
          <cell r="I52">
            <v>6.8390000000000004</v>
          </cell>
          <cell r="J52">
            <v>7.05</v>
          </cell>
          <cell r="K52">
            <v>7</v>
          </cell>
          <cell r="L52">
            <v>6.91</v>
          </cell>
          <cell r="M52">
            <v>6.9</v>
          </cell>
          <cell r="N52">
            <v>6.82</v>
          </cell>
          <cell r="O52">
            <v>6.63</v>
          </cell>
          <cell r="P52">
            <v>3.67</v>
          </cell>
          <cell r="Q52">
            <v>3.03</v>
          </cell>
        </row>
        <row r="53">
          <cell r="E53">
            <v>5.6</v>
          </cell>
          <cell r="F53">
            <v>5.7249999999999996</v>
          </cell>
          <cell r="G53">
            <v>5.992</v>
          </cell>
          <cell r="H53">
            <v>6.2110000000000003</v>
          </cell>
          <cell r="I53">
            <v>6.4569999999999999</v>
          </cell>
          <cell r="J53">
            <v>6.67</v>
          </cell>
          <cell r="K53">
            <v>6.63</v>
          </cell>
          <cell r="L53">
            <v>6.54</v>
          </cell>
          <cell r="M53">
            <v>6.54</v>
          </cell>
          <cell r="N53">
            <v>6.47</v>
          </cell>
          <cell r="O53">
            <v>6.28</v>
          </cell>
          <cell r="P53">
            <v>3.38</v>
          </cell>
          <cell r="Q53">
            <v>2.71</v>
          </cell>
        </row>
        <row r="54">
          <cell r="E54">
            <v>6.51</v>
          </cell>
          <cell r="F54">
            <v>6.1619999999999999</v>
          </cell>
          <cell r="G54">
            <v>6.5380000000000003</v>
          </cell>
          <cell r="H54">
            <v>6.88</v>
          </cell>
          <cell r="I54">
            <v>7.2530000000000001</v>
          </cell>
          <cell r="J54">
            <v>7.6</v>
          </cell>
          <cell r="K54">
            <v>7.66</v>
          </cell>
          <cell r="L54">
            <v>7.69</v>
          </cell>
          <cell r="M54">
            <v>7.8</v>
          </cell>
          <cell r="N54">
            <v>7.85</v>
          </cell>
          <cell r="O54">
            <v>8.5299999999999994</v>
          </cell>
          <cell r="P54">
            <v>6.49</v>
          </cell>
          <cell r="Q54">
            <v>6.12</v>
          </cell>
        </row>
        <row r="55">
          <cell r="E55">
            <v>5.81</v>
          </cell>
          <cell r="F55">
            <v>5.54</v>
          </cell>
          <cell r="G55">
            <v>5.4370000000000003</v>
          </cell>
          <cell r="H55">
            <v>5.5069999999999997</v>
          </cell>
          <cell r="I55">
            <v>5.6768000000000001</v>
          </cell>
          <cell r="J55">
            <v>5.7</v>
          </cell>
          <cell r="K55">
            <v>5.73</v>
          </cell>
          <cell r="L55">
            <v>5.77</v>
          </cell>
          <cell r="M55">
            <v>5.93</v>
          </cell>
          <cell r="N55">
            <v>6.02</v>
          </cell>
          <cell r="O55">
            <v>6.16</v>
          </cell>
          <cell r="P55">
            <v>2.79</v>
          </cell>
          <cell r="Q55">
            <v>1.55</v>
          </cell>
        </row>
        <row r="56">
          <cell r="E56">
            <v>4.87</v>
          </cell>
          <cell r="F56">
            <v>5.3470000000000004</v>
          </cell>
          <cell r="G56">
            <v>5.2690000000000001</v>
          </cell>
          <cell r="H56">
            <v>5.3369999999999997</v>
          </cell>
          <cell r="I56">
            <v>5.5140000000000002</v>
          </cell>
          <cell r="J56">
            <v>5.55</v>
          </cell>
          <cell r="K56">
            <v>5.59</v>
          </cell>
          <cell r="L56">
            <v>5.64</v>
          </cell>
          <cell r="M56">
            <v>5.82</v>
          </cell>
          <cell r="N56">
            <v>5.91</v>
          </cell>
          <cell r="O56">
            <v>6.05</v>
          </cell>
          <cell r="P56">
            <v>2.91</v>
          </cell>
          <cell r="Q56">
            <v>1.67</v>
          </cell>
        </row>
        <row r="57">
          <cell r="E57">
            <v>5.34</v>
          </cell>
          <cell r="F57">
            <v>5.2880000000000003</v>
          </cell>
          <cell r="G57">
            <v>5.2409999999999997</v>
          </cell>
          <cell r="H57">
            <v>5.3719999999999999</v>
          </cell>
          <cell r="I57">
            <v>5.6</v>
          </cell>
          <cell r="J57">
            <v>5.69</v>
          </cell>
          <cell r="K57">
            <v>5.78</v>
          </cell>
          <cell r="L57">
            <v>5.89</v>
          </cell>
          <cell r="M57">
            <v>6.02</v>
          </cell>
          <cell r="N57">
            <v>6.15</v>
          </cell>
          <cell r="O57">
            <v>6.3</v>
          </cell>
          <cell r="P57">
            <v>3.45</v>
          </cell>
          <cell r="Q57">
            <v>2.31</v>
          </cell>
        </row>
        <row r="58">
          <cell r="E58">
            <v>8.93</v>
          </cell>
          <cell r="F58">
            <v>7.64</v>
          </cell>
          <cell r="G58">
            <v>7.5640000000000001</v>
          </cell>
          <cell r="H58">
            <v>7.73</v>
          </cell>
          <cell r="I58">
            <v>8.0280000000000005</v>
          </cell>
          <cell r="J58">
            <v>8.15</v>
          </cell>
          <cell r="K58">
            <v>8.23</v>
          </cell>
          <cell r="L58">
            <v>8.32</v>
          </cell>
          <cell r="M58">
            <v>8.5500000000000007</v>
          </cell>
          <cell r="N58">
            <v>8.7100000000000009</v>
          </cell>
          <cell r="O58">
            <v>8.91</v>
          </cell>
          <cell r="P58">
            <v>5.86</v>
          </cell>
          <cell r="Q58">
            <v>4.72</v>
          </cell>
        </row>
        <row r="59">
          <cell r="E59">
            <v>8.33</v>
          </cell>
          <cell r="F59">
            <v>8.0730000000000004</v>
          </cell>
          <cell r="G59">
            <v>7.9480000000000004</v>
          </cell>
          <cell r="H59">
            <v>8.0869999999999997</v>
          </cell>
          <cell r="I59">
            <v>8.3580000000000005</v>
          </cell>
          <cell r="J59">
            <v>8.4600000000000009</v>
          </cell>
          <cell r="K59">
            <v>8.5</v>
          </cell>
          <cell r="L59">
            <v>8.5399999999999991</v>
          </cell>
          <cell r="M59">
            <v>8.73</v>
          </cell>
          <cell r="N59">
            <v>8.86</v>
          </cell>
          <cell r="O59">
            <v>9.08</v>
          </cell>
          <cell r="P59">
            <v>6.66</v>
          </cell>
          <cell r="Q59">
            <v>5.24</v>
          </cell>
        </row>
        <row r="60">
          <cell r="E60">
            <v>9.0299999999999994</v>
          </cell>
          <cell r="F60">
            <v>6.9080000000000004</v>
          </cell>
          <cell r="G60">
            <v>6.8289999999999997</v>
          </cell>
          <cell r="H60">
            <v>6.97</v>
          </cell>
          <cell r="I60">
            <v>7.23</v>
          </cell>
          <cell r="J60">
            <v>7.33</v>
          </cell>
          <cell r="K60">
            <v>7.4</v>
          </cell>
          <cell r="L60">
            <v>7.47</v>
          </cell>
          <cell r="M60">
            <v>7.69</v>
          </cell>
          <cell r="N60">
            <v>7.83</v>
          </cell>
          <cell r="O60">
            <v>8.18</v>
          </cell>
          <cell r="P60">
            <v>4.92</v>
          </cell>
          <cell r="Q60">
            <v>3.67</v>
          </cell>
        </row>
        <row r="61">
          <cell r="E61">
            <v>5.42</v>
          </cell>
          <cell r="F61">
            <v>5.2439999999999998</v>
          </cell>
          <cell r="G61">
            <v>5.1680000000000001</v>
          </cell>
          <cell r="H61">
            <v>5.2619999999999996</v>
          </cell>
          <cell r="I61">
            <v>5.4558999999999997</v>
          </cell>
          <cell r="J61">
            <v>5.5</v>
          </cell>
          <cell r="K61">
            <v>6.09</v>
          </cell>
          <cell r="L61">
            <v>6.16</v>
          </cell>
          <cell r="M61">
            <v>6.35</v>
          </cell>
          <cell r="N61">
            <v>6.43</v>
          </cell>
          <cell r="O61">
            <v>6.61</v>
          </cell>
          <cell r="P61">
            <v>3.36</v>
          </cell>
          <cell r="Q61">
            <v>2.13</v>
          </cell>
        </row>
        <row r="62">
          <cell r="E62">
            <v>6.85</v>
          </cell>
          <cell r="F62">
            <v>5.96</v>
          </cell>
          <cell r="G62">
            <v>5.8979999999999997</v>
          </cell>
          <cell r="H62">
            <v>6.0330000000000004</v>
          </cell>
          <cell r="I62">
            <v>6.2770000000000001</v>
          </cell>
          <cell r="J62">
            <v>6.37</v>
          </cell>
          <cell r="K62">
            <v>6.45</v>
          </cell>
          <cell r="L62">
            <v>6.55</v>
          </cell>
          <cell r="M62">
            <v>6.77</v>
          </cell>
          <cell r="N62">
            <v>6.92</v>
          </cell>
          <cell r="O62">
            <v>7.08</v>
          </cell>
          <cell r="P62">
            <v>3.85</v>
          </cell>
          <cell r="Q62">
            <v>2.66</v>
          </cell>
        </row>
        <row r="63">
          <cell r="E63">
            <v>5.58</v>
          </cell>
          <cell r="F63">
            <v>5.63</v>
          </cell>
          <cell r="G63">
            <v>5.5449999999999999</v>
          </cell>
          <cell r="H63">
            <v>5.64</v>
          </cell>
          <cell r="I63">
            <v>5.8380000000000001</v>
          </cell>
          <cell r="J63">
            <v>5.89</v>
          </cell>
          <cell r="K63">
            <v>5.94</v>
          </cell>
          <cell r="L63">
            <v>6.01</v>
          </cell>
          <cell r="M63">
            <v>6.19</v>
          </cell>
          <cell r="N63">
            <v>6.3</v>
          </cell>
          <cell r="O63">
            <v>6.54</v>
          </cell>
          <cell r="P63">
            <v>3.23</v>
          </cell>
          <cell r="Q63">
            <v>1.98</v>
          </cell>
        </row>
        <row r="64">
          <cell r="E64">
            <v>7.57</v>
          </cell>
          <cell r="F64">
            <v>8.0890000000000004</v>
          </cell>
          <cell r="G64">
            <v>7.99</v>
          </cell>
          <cell r="H64">
            <v>8.1579999999999995</v>
          </cell>
          <cell r="I64">
            <v>8.4499999999999993</v>
          </cell>
          <cell r="J64">
            <v>8.57</v>
          </cell>
          <cell r="K64">
            <v>8.64</v>
          </cell>
          <cell r="L64">
            <v>7.95</v>
          </cell>
          <cell r="M64">
            <v>8.08</v>
          </cell>
          <cell r="N64">
            <v>8.15</v>
          </cell>
          <cell r="O64">
            <v>8.3699999999999992</v>
          </cell>
          <cell r="P64">
            <v>5.32</v>
          </cell>
          <cell r="Q64">
            <v>4.13</v>
          </cell>
        </row>
        <row r="65">
          <cell r="E65">
            <v>9.59</v>
          </cell>
          <cell r="F65">
            <v>8.1989999999999998</v>
          </cell>
          <cell r="G65">
            <v>8.11</v>
          </cell>
          <cell r="H65">
            <v>8.2919999999999998</v>
          </cell>
          <cell r="I65">
            <v>8.61</v>
          </cell>
          <cell r="J65">
            <v>8.74</v>
          </cell>
          <cell r="K65">
            <v>8.82</v>
          </cell>
          <cell r="L65">
            <v>8.9</v>
          </cell>
          <cell r="M65">
            <v>9.09</v>
          </cell>
          <cell r="N65">
            <v>9.26</v>
          </cell>
          <cell r="O65">
            <v>9.25</v>
          </cell>
          <cell r="P65">
            <v>5.59</v>
          </cell>
          <cell r="Q65">
            <v>4.1900000000000004</v>
          </cell>
        </row>
        <row r="66">
          <cell r="E66">
            <v>6.2</v>
          </cell>
          <cell r="F66">
            <v>5.65</v>
          </cell>
          <cell r="G66">
            <v>5.57</v>
          </cell>
          <cell r="H66">
            <v>5.67</v>
          </cell>
          <cell r="I66">
            <v>5.87</v>
          </cell>
          <cell r="J66">
            <v>5.93</v>
          </cell>
          <cell r="K66">
            <v>5.98</v>
          </cell>
          <cell r="L66">
            <v>6.04</v>
          </cell>
          <cell r="M66">
            <v>6.22</v>
          </cell>
          <cell r="N66">
            <v>6.32</v>
          </cell>
          <cell r="O66">
            <v>6.45</v>
          </cell>
          <cell r="P66">
            <v>4.68</v>
          </cell>
        </row>
        <row r="67">
          <cell r="E67">
            <v>8.64</v>
          </cell>
          <cell r="F67">
            <v>8.0079999999999991</v>
          </cell>
          <cell r="G67">
            <v>7.92</v>
          </cell>
          <cell r="H67">
            <v>8.0830000000000002</v>
          </cell>
          <cell r="I67">
            <v>8.3800000000000008</v>
          </cell>
          <cell r="J67">
            <v>8.5</v>
          </cell>
          <cell r="K67">
            <v>8.57</v>
          </cell>
          <cell r="L67">
            <v>8.64</v>
          </cell>
          <cell r="M67">
            <v>8.86</v>
          </cell>
          <cell r="N67">
            <v>9.02</v>
          </cell>
          <cell r="O67">
            <v>9.39</v>
          </cell>
          <cell r="P67">
            <v>6.14</v>
          </cell>
          <cell r="Q67">
            <v>4.8600000000000003</v>
          </cell>
        </row>
        <row r="68">
          <cell r="E68">
            <v>4.93</v>
          </cell>
          <cell r="F68">
            <v>9.25</v>
          </cell>
          <cell r="G68">
            <v>9.36</v>
          </cell>
          <cell r="H68">
            <v>9.07</v>
          </cell>
          <cell r="I68">
            <v>9.1300000000000008</v>
          </cell>
          <cell r="J68">
            <v>8.9</v>
          </cell>
          <cell r="K68">
            <v>8.59</v>
          </cell>
          <cell r="L68">
            <v>8.4700000000000006</v>
          </cell>
          <cell r="M68">
            <v>9.41</v>
          </cell>
          <cell r="N68">
            <v>9.23</v>
          </cell>
          <cell r="O68">
            <v>9.06</v>
          </cell>
          <cell r="P68">
            <v>9.4499999999999993</v>
          </cell>
          <cell r="Q68">
            <v>9.14</v>
          </cell>
        </row>
        <row r="69">
          <cell r="E69">
            <v>10.49</v>
          </cell>
          <cell r="F69">
            <v>10.67</v>
          </cell>
          <cell r="G69">
            <v>11.11</v>
          </cell>
          <cell r="H69">
            <v>10.84</v>
          </cell>
          <cell r="I69">
            <v>10.95</v>
          </cell>
          <cell r="J69">
            <v>10.75</v>
          </cell>
          <cell r="K69">
            <v>10.42</v>
          </cell>
          <cell r="L69">
            <v>10.26</v>
          </cell>
          <cell r="M69">
            <v>10.15</v>
          </cell>
          <cell r="N69">
            <v>9.85</v>
          </cell>
          <cell r="O69">
            <v>9.4</v>
          </cell>
          <cell r="P69">
            <v>9.68</v>
          </cell>
          <cell r="Q69">
            <v>9.39</v>
          </cell>
        </row>
        <row r="70">
          <cell r="E70">
            <v>8.15</v>
          </cell>
          <cell r="F70">
            <v>9.16</v>
          </cell>
          <cell r="G70">
            <v>9.18</v>
          </cell>
          <cell r="H70">
            <v>8.7799999999999994</v>
          </cell>
          <cell r="I70">
            <v>8.7100000000000009</v>
          </cell>
          <cell r="J70">
            <v>8.34</v>
          </cell>
          <cell r="K70">
            <v>13.75</v>
          </cell>
          <cell r="L70">
            <v>12.62</v>
          </cell>
          <cell r="M70">
            <v>11.65</v>
          </cell>
          <cell r="N70">
            <v>10.48</v>
          </cell>
          <cell r="O70">
            <v>9.5299999999999994</v>
          </cell>
          <cell r="P70">
            <v>13.07</v>
          </cell>
          <cell r="Q70">
            <v>13.93</v>
          </cell>
        </row>
        <row r="71">
          <cell r="E71">
            <v>9.61</v>
          </cell>
          <cell r="F71">
            <v>9.27</v>
          </cell>
          <cell r="G71">
            <v>9.44</v>
          </cell>
          <cell r="H71">
            <v>9.18</v>
          </cell>
          <cell r="I71">
            <v>9.2799999999999994</v>
          </cell>
          <cell r="J71">
            <v>9.09</v>
          </cell>
          <cell r="K71">
            <v>8.8000000000000007</v>
          </cell>
          <cell r="L71">
            <v>8.68</v>
          </cell>
          <cell r="M71">
            <v>8.66</v>
          </cell>
          <cell r="N71">
            <v>8.42</v>
          </cell>
          <cell r="O71">
            <v>8.1999999999999993</v>
          </cell>
          <cell r="P71">
            <v>9.48</v>
          </cell>
          <cell r="Q71">
            <v>9.33</v>
          </cell>
        </row>
        <row r="72">
          <cell r="E72">
            <v>7.84</v>
          </cell>
          <cell r="F72">
            <v>8.1999999999999993</v>
          </cell>
          <cell r="G72">
            <v>8.42</v>
          </cell>
          <cell r="H72">
            <v>8.25</v>
          </cell>
          <cell r="I72">
            <v>8.4</v>
          </cell>
          <cell r="J72">
            <v>8.3000000000000007</v>
          </cell>
          <cell r="K72">
            <v>9.44</v>
          </cell>
          <cell r="L72">
            <v>9.4</v>
          </cell>
          <cell r="M72">
            <v>9.4600000000000009</v>
          </cell>
          <cell r="N72">
            <v>9.2899999999999991</v>
          </cell>
          <cell r="O72">
            <v>9.0500000000000007</v>
          </cell>
          <cell r="P72">
            <v>9.76</v>
          </cell>
          <cell r="Q72">
            <v>9.57</v>
          </cell>
        </row>
        <row r="73">
          <cell r="E73">
            <v>2.78</v>
          </cell>
          <cell r="F73">
            <v>8.7899999999999991</v>
          </cell>
          <cell r="G73">
            <v>8.8800000000000008</v>
          </cell>
          <cell r="H73">
            <v>8.56</v>
          </cell>
          <cell r="I73">
            <v>8.57</v>
          </cell>
          <cell r="J73">
            <v>8.2899999999999991</v>
          </cell>
          <cell r="K73">
            <v>8.1199999999999992</v>
          </cell>
          <cell r="L73">
            <v>7.99</v>
          </cell>
          <cell r="M73">
            <v>7.96</v>
          </cell>
          <cell r="N73">
            <v>7.7</v>
          </cell>
          <cell r="O73">
            <v>7.49</v>
          </cell>
          <cell r="P73">
            <v>8.98</v>
          </cell>
          <cell r="Q73">
            <v>8.8000000000000007</v>
          </cell>
        </row>
        <row r="74">
          <cell r="E74">
            <v>7.93</v>
          </cell>
          <cell r="F74">
            <v>7.66</v>
          </cell>
          <cell r="G74">
            <v>7.81</v>
          </cell>
          <cell r="H74">
            <v>7.59</v>
          </cell>
          <cell r="I74">
            <v>7.68</v>
          </cell>
          <cell r="J74">
            <v>7.51</v>
          </cell>
          <cell r="K74">
            <v>7.29</v>
          </cell>
          <cell r="L74">
            <v>7.22</v>
          </cell>
          <cell r="M74">
            <v>7.23</v>
          </cell>
          <cell r="N74">
            <v>8.32</v>
          </cell>
          <cell r="O74">
            <v>8.09</v>
          </cell>
          <cell r="P74">
            <v>8.69</v>
          </cell>
          <cell r="Q74">
            <v>8.44</v>
          </cell>
        </row>
        <row r="75">
          <cell r="E75">
            <v>9.2799999999999994</v>
          </cell>
          <cell r="F75">
            <v>9.33</v>
          </cell>
          <cell r="G75">
            <v>9.65</v>
          </cell>
          <cell r="H75">
            <v>9.5299999999999994</v>
          </cell>
          <cell r="I75">
            <v>9.8000000000000007</v>
          </cell>
          <cell r="J75">
            <v>9.76</v>
          </cell>
          <cell r="K75">
            <v>9.64</v>
          </cell>
          <cell r="L75">
            <v>9.64</v>
          </cell>
          <cell r="M75">
            <v>9.8000000000000007</v>
          </cell>
          <cell r="N75">
            <v>9.74</v>
          </cell>
          <cell r="O75">
            <v>9.5299999999999994</v>
          </cell>
          <cell r="P75">
            <v>9.9499999999999993</v>
          </cell>
          <cell r="Q75">
            <v>9.66</v>
          </cell>
        </row>
        <row r="76">
          <cell r="E76">
            <v>8.15</v>
          </cell>
          <cell r="F76">
            <v>8.8699999999999992</v>
          </cell>
          <cell r="G76">
            <v>9.0299999999999994</v>
          </cell>
          <cell r="H76">
            <v>8.81</v>
          </cell>
          <cell r="I76">
            <v>8.9499999999999993</v>
          </cell>
          <cell r="J76">
            <v>8.7899999999999991</v>
          </cell>
          <cell r="K76">
            <v>8.57</v>
          </cell>
          <cell r="L76">
            <v>8.5399999999999991</v>
          </cell>
          <cell r="M76">
            <v>8.6</v>
          </cell>
          <cell r="N76">
            <v>8.41</v>
          </cell>
          <cell r="O76">
            <v>8.23</v>
          </cell>
          <cell r="P76">
            <v>8</v>
          </cell>
          <cell r="Q76">
            <v>7.66</v>
          </cell>
        </row>
        <row r="77">
          <cell r="E77">
            <v>7.94</v>
          </cell>
          <cell r="F77">
            <v>7.83</v>
          </cell>
          <cell r="G77">
            <v>7.97</v>
          </cell>
          <cell r="H77">
            <v>7.69</v>
          </cell>
          <cell r="I77">
            <v>7.74</v>
          </cell>
          <cell r="J77">
            <v>7.49</v>
          </cell>
          <cell r="K77">
            <v>7.24</v>
          </cell>
          <cell r="L77">
            <v>7.17</v>
          </cell>
          <cell r="M77">
            <v>7.04</v>
          </cell>
          <cell r="N77">
            <v>7.36</v>
          </cell>
          <cell r="O77">
            <v>7.16</v>
          </cell>
          <cell r="P77">
            <v>7.38</v>
          </cell>
          <cell r="Q77">
            <v>6.97</v>
          </cell>
        </row>
        <row r="78">
          <cell r="E78">
            <v>12.77</v>
          </cell>
          <cell r="F78">
            <v>8.61</v>
          </cell>
          <cell r="G78">
            <v>8.65</v>
          </cell>
          <cell r="H78">
            <v>8.24</v>
          </cell>
          <cell r="I78">
            <v>8.14</v>
          </cell>
          <cell r="J78">
            <v>7.75</v>
          </cell>
          <cell r="K78">
            <v>7.31</v>
          </cell>
          <cell r="L78">
            <v>7.07</v>
          </cell>
          <cell r="M78">
            <v>6.92</v>
          </cell>
          <cell r="N78">
            <v>6.54</v>
          </cell>
          <cell r="O78">
            <v>6.28</v>
          </cell>
          <cell r="P78">
            <v>8.01</v>
          </cell>
          <cell r="Q78">
            <v>8.1199999999999992</v>
          </cell>
        </row>
        <row r="79">
          <cell r="E79">
            <v>9.2100000000000009</v>
          </cell>
          <cell r="F79">
            <v>9.0500000000000007</v>
          </cell>
          <cell r="G79">
            <v>9.4</v>
          </cell>
          <cell r="H79">
            <v>9.67</v>
          </cell>
          <cell r="I79">
            <v>10.18</v>
          </cell>
          <cell r="J79">
            <v>10.75</v>
          </cell>
          <cell r="K79">
            <v>11.24</v>
          </cell>
          <cell r="L79">
            <v>11.6</v>
          </cell>
          <cell r="M79">
            <v>11.98</v>
          </cell>
          <cell r="N79">
            <v>12.32</v>
          </cell>
          <cell r="O79">
            <v>12.42</v>
          </cell>
          <cell r="P79">
            <v>8.07</v>
          </cell>
          <cell r="Q79">
            <v>7.18</v>
          </cell>
        </row>
        <row r="80">
          <cell r="E80">
            <v>8.0299999999999994</v>
          </cell>
          <cell r="F80">
            <v>8.2100000000000009</v>
          </cell>
          <cell r="G80">
            <v>8.42</v>
          </cell>
          <cell r="H80">
            <v>8.52</v>
          </cell>
          <cell r="I80">
            <v>8.84</v>
          </cell>
          <cell r="J80">
            <v>9.18</v>
          </cell>
          <cell r="K80">
            <v>9.49</v>
          </cell>
          <cell r="L80">
            <v>9.67</v>
          </cell>
          <cell r="M80">
            <v>9.85</v>
          </cell>
          <cell r="N80">
            <v>9.99</v>
          </cell>
          <cell r="O80">
            <v>10.01</v>
          </cell>
          <cell r="P80">
            <v>5.89</v>
          </cell>
          <cell r="Q80">
            <v>5.0599999999999996</v>
          </cell>
        </row>
        <row r="81">
          <cell r="E81">
            <v>10.050000000000001</v>
          </cell>
          <cell r="F81">
            <v>10.01</v>
          </cell>
          <cell r="G81">
            <v>10.38</v>
          </cell>
          <cell r="H81">
            <v>10.58</v>
          </cell>
          <cell r="I81">
            <v>11.04</v>
          </cell>
          <cell r="J81">
            <v>11.55</v>
          </cell>
          <cell r="K81">
            <v>11.99</v>
          </cell>
          <cell r="L81">
            <v>12.28</v>
          </cell>
          <cell r="M81">
            <v>12.59</v>
          </cell>
          <cell r="N81">
            <v>12.85</v>
          </cell>
          <cell r="O81">
            <v>12.87</v>
          </cell>
          <cell r="P81">
            <v>8.41</v>
          </cell>
          <cell r="Q81">
            <v>7.62</v>
          </cell>
        </row>
        <row r="82">
          <cell r="E82">
            <v>4.8600000000000003</v>
          </cell>
          <cell r="F82">
            <v>8.9499999999999993</v>
          </cell>
          <cell r="G82">
            <v>9.24</v>
          </cell>
          <cell r="H82">
            <v>9.43</v>
          </cell>
          <cell r="I82">
            <v>9.84</v>
          </cell>
          <cell r="J82">
            <v>10.31</v>
          </cell>
          <cell r="K82">
            <v>10.7</v>
          </cell>
          <cell r="L82">
            <v>10.97</v>
          </cell>
          <cell r="M82">
            <v>11.24</v>
          </cell>
          <cell r="N82">
            <v>11.48</v>
          </cell>
          <cell r="O82">
            <v>11.55</v>
          </cell>
          <cell r="P82">
            <v>7.09</v>
          </cell>
          <cell r="Q82">
            <v>6.12</v>
          </cell>
        </row>
        <row r="83">
          <cell r="E83">
            <v>9.17</v>
          </cell>
          <cell r="F83">
            <v>8.8000000000000007</v>
          </cell>
          <cell r="G83">
            <v>9.1300000000000008</v>
          </cell>
          <cell r="H83">
            <v>9.3800000000000008</v>
          </cell>
          <cell r="I83">
            <v>9.86</v>
          </cell>
          <cell r="J83">
            <v>10.4</v>
          </cell>
          <cell r="K83">
            <v>10.86</v>
          </cell>
          <cell r="L83">
            <v>11.2</v>
          </cell>
          <cell r="M83">
            <v>11.55</v>
          </cell>
          <cell r="N83">
            <v>11.86</v>
          </cell>
          <cell r="O83">
            <v>11.97</v>
          </cell>
          <cell r="P83">
            <v>8.19</v>
          </cell>
          <cell r="Q83">
            <v>7.3</v>
          </cell>
        </row>
        <row r="84">
          <cell r="E84">
            <v>6.09</v>
          </cell>
          <cell r="F84">
            <v>8.77</v>
          </cell>
          <cell r="G84">
            <v>8.91</v>
          </cell>
          <cell r="H84">
            <v>9.01</v>
          </cell>
          <cell r="I84">
            <v>9.32</v>
          </cell>
          <cell r="J84">
            <v>9.66</v>
          </cell>
          <cell r="K84">
            <v>9.9700000000000006</v>
          </cell>
          <cell r="L84">
            <v>10.130000000000001</v>
          </cell>
          <cell r="M84">
            <v>10.29</v>
          </cell>
          <cell r="N84">
            <v>10.41</v>
          </cell>
          <cell r="O84">
            <v>10.49</v>
          </cell>
          <cell r="P84">
            <v>4.3600000000000003</v>
          </cell>
          <cell r="Q84">
            <v>3.39</v>
          </cell>
        </row>
        <row r="85">
          <cell r="E85">
            <v>9.09</v>
          </cell>
          <cell r="F85">
            <v>7.37</v>
          </cell>
          <cell r="G85">
            <v>7.83</v>
          </cell>
          <cell r="H85">
            <v>8.0500000000000007</v>
          </cell>
          <cell r="I85">
            <v>8.4600000000000009</v>
          </cell>
          <cell r="J85">
            <v>8.92</v>
          </cell>
          <cell r="K85">
            <v>9.33</v>
          </cell>
          <cell r="L85">
            <v>9.6199999999999992</v>
          </cell>
          <cell r="M85">
            <v>13.48</v>
          </cell>
          <cell r="N85">
            <v>13.81</v>
          </cell>
          <cell r="O85">
            <v>13.67</v>
          </cell>
          <cell r="P85">
            <v>9.6</v>
          </cell>
          <cell r="Q85">
            <v>8.8699999999999992</v>
          </cell>
        </row>
        <row r="86">
          <cell r="E86">
            <v>9.26</v>
          </cell>
          <cell r="F86">
            <v>9.1199999999999992</v>
          </cell>
          <cell r="G86">
            <v>9.51</v>
          </cell>
          <cell r="H86">
            <v>9.7799999999999994</v>
          </cell>
          <cell r="I86">
            <v>10.3</v>
          </cell>
          <cell r="J86">
            <v>10.87</v>
          </cell>
          <cell r="K86">
            <v>11.37</v>
          </cell>
          <cell r="L86">
            <v>11.74</v>
          </cell>
          <cell r="M86">
            <v>12.11</v>
          </cell>
          <cell r="N86">
            <v>12.45</v>
          </cell>
          <cell r="O86">
            <v>12.52</v>
          </cell>
          <cell r="P86">
            <v>8.41</v>
          </cell>
          <cell r="Q86">
            <v>7.58</v>
          </cell>
        </row>
        <row r="87">
          <cell r="E87">
            <v>8.93</v>
          </cell>
          <cell r="F87">
            <v>9.44</v>
          </cell>
          <cell r="G87">
            <v>9.68</v>
          </cell>
          <cell r="H87">
            <v>9.84</v>
          </cell>
          <cell r="I87">
            <v>10.23</v>
          </cell>
          <cell r="J87">
            <v>10.67</v>
          </cell>
          <cell r="K87">
            <v>11.05</v>
          </cell>
          <cell r="L87">
            <v>11.29</v>
          </cell>
          <cell r="M87">
            <v>11.48</v>
          </cell>
          <cell r="N87">
            <v>11.68</v>
          </cell>
          <cell r="O87">
            <v>11.74</v>
          </cell>
          <cell r="P87">
            <v>7.73</v>
          </cell>
          <cell r="Q87">
            <v>6.99</v>
          </cell>
        </row>
        <row r="88">
          <cell r="E88">
            <v>10.09</v>
          </cell>
          <cell r="F88">
            <v>10.15</v>
          </cell>
          <cell r="G88">
            <v>10.54</v>
          </cell>
          <cell r="H88">
            <v>10.77</v>
          </cell>
          <cell r="I88">
            <v>11.25</v>
          </cell>
          <cell r="J88">
            <v>11.8</v>
          </cell>
          <cell r="K88">
            <v>12.27</v>
          </cell>
          <cell r="L88">
            <v>12.59</v>
          </cell>
          <cell r="M88">
            <v>12.92</v>
          </cell>
          <cell r="N88">
            <v>13.22</v>
          </cell>
          <cell r="O88">
            <v>13.26</v>
          </cell>
          <cell r="P88">
            <v>9.6300000000000008</v>
          </cell>
          <cell r="Q88">
            <v>8.7899999999999991</v>
          </cell>
        </row>
        <row r="89">
          <cell r="E89">
            <v>8.27</v>
          </cell>
          <cell r="F89">
            <v>8.17</v>
          </cell>
          <cell r="G89">
            <v>8.41</v>
          </cell>
          <cell r="H89">
            <v>8.58</v>
          </cell>
          <cell r="I89">
            <v>8.9700000000000006</v>
          </cell>
          <cell r="J89">
            <v>9.39</v>
          </cell>
          <cell r="K89">
            <v>9.77</v>
          </cell>
          <cell r="L89">
            <v>10.02</v>
          </cell>
          <cell r="M89">
            <v>10.27</v>
          </cell>
          <cell r="N89">
            <v>10.48</v>
          </cell>
          <cell r="O89">
            <v>10.53</v>
          </cell>
          <cell r="P89">
            <v>5.96</v>
          </cell>
          <cell r="Q89">
            <v>5.09</v>
          </cell>
        </row>
        <row r="90">
          <cell r="E90">
            <v>9.3800000000000008</v>
          </cell>
          <cell r="F90">
            <v>10.61</v>
          </cell>
          <cell r="G90">
            <v>10.88</v>
          </cell>
          <cell r="H90">
            <v>11.06</v>
          </cell>
          <cell r="I90">
            <v>11.5</v>
          </cell>
          <cell r="J90">
            <v>12</v>
          </cell>
          <cell r="K90">
            <v>12.42</v>
          </cell>
          <cell r="L90">
            <v>12.68</v>
          </cell>
          <cell r="M90">
            <v>12.21</v>
          </cell>
          <cell r="N90">
            <v>12.43</v>
          </cell>
          <cell r="O90">
            <v>12.5</v>
          </cell>
          <cell r="P90">
            <v>8.1300000000000008</v>
          </cell>
          <cell r="Q90">
            <v>7.26</v>
          </cell>
        </row>
        <row r="91">
          <cell r="E91">
            <v>10.44</v>
          </cell>
          <cell r="F91">
            <v>9.0500000000000007</v>
          </cell>
          <cell r="G91">
            <v>9.34</v>
          </cell>
          <cell r="H91">
            <v>9.5</v>
          </cell>
          <cell r="I91">
            <v>9.89</v>
          </cell>
          <cell r="J91">
            <v>10.32</v>
          </cell>
          <cell r="K91">
            <v>10.71</v>
          </cell>
          <cell r="L91">
            <v>10.7</v>
          </cell>
          <cell r="M91">
            <v>10.95</v>
          </cell>
          <cell r="N91">
            <v>11.14</v>
          </cell>
          <cell r="O91">
            <v>11.15</v>
          </cell>
          <cell r="P91">
            <v>6.17</v>
          </cell>
          <cell r="Q91">
            <v>5.08</v>
          </cell>
        </row>
        <row r="92">
          <cell r="E92">
            <v>7.36</v>
          </cell>
          <cell r="F92">
            <v>7.2</v>
          </cell>
          <cell r="G92">
            <v>7.49</v>
          </cell>
          <cell r="H92">
            <v>7.73</v>
          </cell>
          <cell r="I92">
            <v>8.18</v>
          </cell>
          <cell r="J92">
            <v>8.66</v>
          </cell>
          <cell r="K92">
            <v>9.11</v>
          </cell>
          <cell r="L92">
            <v>9.43</v>
          </cell>
          <cell r="M92">
            <v>9.77</v>
          </cell>
          <cell r="N92">
            <v>10.050000000000001</v>
          </cell>
          <cell r="O92">
            <v>10.130000000000001</v>
          </cell>
          <cell r="P92">
            <v>5.23</v>
          </cell>
          <cell r="Q92">
            <v>4.22</v>
          </cell>
        </row>
        <row r="93">
          <cell r="E93">
            <v>10.47</v>
          </cell>
          <cell r="F93">
            <v>10.14</v>
          </cell>
          <cell r="G93">
            <v>10.53</v>
          </cell>
          <cell r="H93">
            <v>10.74</v>
          </cell>
          <cell r="I93">
            <v>11.16</v>
          </cell>
          <cell r="J93">
            <v>11.58</v>
          </cell>
          <cell r="K93">
            <v>12.06</v>
          </cell>
          <cell r="L93">
            <v>11.58</v>
          </cell>
          <cell r="M93">
            <v>11.15</v>
          </cell>
          <cell r="N93">
            <v>10.63</v>
          </cell>
          <cell r="O93">
            <v>9.74</v>
          </cell>
          <cell r="P93">
            <v>6.93</v>
          </cell>
          <cell r="Q93">
            <v>6.99</v>
          </cell>
        </row>
        <row r="94">
          <cell r="E94">
            <v>8.9</v>
          </cell>
          <cell r="F94">
            <v>8.82</v>
          </cell>
          <cell r="G94">
            <v>9.09</v>
          </cell>
          <cell r="H94">
            <v>9.2899999999999991</v>
          </cell>
          <cell r="I94">
            <v>9.68</v>
          </cell>
          <cell r="J94">
            <v>10.07</v>
          </cell>
          <cell r="K94">
            <v>10.52</v>
          </cell>
          <cell r="L94">
            <v>10.07</v>
          </cell>
          <cell r="M94">
            <v>9.66</v>
          </cell>
          <cell r="N94">
            <v>9.16</v>
          </cell>
          <cell r="O94">
            <v>8.3800000000000008</v>
          </cell>
          <cell r="P94">
            <v>5.59</v>
          </cell>
          <cell r="Q94">
            <v>5.54</v>
          </cell>
        </row>
        <row r="95">
          <cell r="E95">
            <v>7.73</v>
          </cell>
          <cell r="F95">
            <v>7.61</v>
          </cell>
          <cell r="G95">
            <v>7.88</v>
          </cell>
          <cell r="H95">
            <v>8.01</v>
          </cell>
          <cell r="I95">
            <v>8.31</v>
          </cell>
          <cell r="J95">
            <v>8.59</v>
          </cell>
          <cell r="K95">
            <v>8.98</v>
          </cell>
          <cell r="L95">
            <v>8.43</v>
          </cell>
          <cell r="M95">
            <v>7.9</v>
          </cell>
          <cell r="N95">
            <v>7.26</v>
          </cell>
          <cell r="O95">
            <v>6.32</v>
          </cell>
          <cell r="P95">
            <v>2.9</v>
          </cell>
          <cell r="Q95">
            <v>2.98</v>
          </cell>
        </row>
        <row r="96">
          <cell r="E96">
            <v>7.32</v>
          </cell>
          <cell r="F96">
            <v>7.31</v>
          </cell>
          <cell r="G96">
            <v>7.56</v>
          </cell>
          <cell r="H96">
            <v>7.69</v>
          </cell>
          <cell r="I96">
            <v>7.99</v>
          </cell>
          <cell r="J96">
            <v>8.26</v>
          </cell>
          <cell r="K96">
            <v>8.66</v>
          </cell>
          <cell r="L96">
            <v>8.1199999999999992</v>
          </cell>
          <cell r="M96">
            <v>7.62</v>
          </cell>
          <cell r="N96">
            <v>7</v>
          </cell>
          <cell r="O96">
            <v>6.11</v>
          </cell>
          <cell r="P96">
            <v>2.68</v>
          </cell>
          <cell r="Q96">
            <v>2.69</v>
          </cell>
        </row>
        <row r="97">
          <cell r="E97">
            <v>8.31</v>
          </cell>
          <cell r="F97">
            <v>10.26</v>
          </cell>
          <cell r="G97">
            <v>10.48</v>
          </cell>
          <cell r="H97">
            <v>10.44</v>
          </cell>
          <cell r="I97">
            <v>10.58</v>
          </cell>
          <cell r="J97">
            <v>10.72</v>
          </cell>
          <cell r="K97">
            <v>10.9</v>
          </cell>
          <cell r="L97">
            <v>10.210000000000001</v>
          </cell>
          <cell r="M97">
            <v>9.57</v>
          </cell>
          <cell r="N97">
            <v>8.86</v>
          </cell>
          <cell r="O97">
            <v>7.95</v>
          </cell>
          <cell r="P97">
            <v>5.49</v>
          </cell>
        </row>
        <row r="98">
          <cell r="E98">
            <v>7.39</v>
          </cell>
          <cell r="F98">
            <v>7.31</v>
          </cell>
          <cell r="G98">
            <v>7.5</v>
          </cell>
          <cell r="H98">
            <v>7.56</v>
          </cell>
          <cell r="I98">
            <v>7.77</v>
          </cell>
          <cell r="J98">
            <v>7.96</v>
          </cell>
          <cell r="K98">
            <v>8.2799999999999994</v>
          </cell>
          <cell r="L98">
            <v>7.65</v>
          </cell>
          <cell r="M98">
            <v>7.05</v>
          </cell>
          <cell r="N98">
            <v>6.35</v>
          </cell>
          <cell r="O98">
            <v>5.41</v>
          </cell>
          <cell r="P98">
            <v>2.2000000000000002</v>
          </cell>
          <cell r="Q98">
            <v>2.37</v>
          </cell>
        </row>
        <row r="99">
          <cell r="E99">
            <v>8.0500000000000007</v>
          </cell>
          <cell r="F99">
            <v>7.76</v>
          </cell>
          <cell r="G99">
            <v>8.06</v>
          </cell>
          <cell r="H99">
            <v>8.16</v>
          </cell>
          <cell r="I99">
            <v>8.4</v>
          </cell>
          <cell r="J99">
            <v>8.64</v>
          </cell>
          <cell r="K99">
            <v>8.92</v>
          </cell>
          <cell r="L99">
            <v>8.5</v>
          </cell>
          <cell r="M99">
            <v>8.1199999999999992</v>
          </cell>
          <cell r="N99">
            <v>7.68</v>
          </cell>
          <cell r="O99">
            <v>6.95</v>
          </cell>
          <cell r="P99">
            <v>5.04</v>
          </cell>
        </row>
        <row r="100">
          <cell r="E100">
            <v>8.01</v>
          </cell>
          <cell r="F100">
            <v>8.0500000000000007</v>
          </cell>
          <cell r="G100">
            <v>8.2899999999999991</v>
          </cell>
          <cell r="H100">
            <v>8.41</v>
          </cell>
          <cell r="I100">
            <v>8.7100000000000009</v>
          </cell>
          <cell r="J100">
            <v>8.99</v>
          </cell>
          <cell r="K100">
            <v>9.3800000000000008</v>
          </cell>
          <cell r="L100">
            <v>8.8000000000000007</v>
          </cell>
          <cell r="M100">
            <v>8.27</v>
          </cell>
          <cell r="N100">
            <v>7.62</v>
          </cell>
          <cell r="O100">
            <v>6.7</v>
          </cell>
          <cell r="P100">
            <v>3.09</v>
          </cell>
          <cell r="Q100">
            <v>3.1</v>
          </cell>
        </row>
        <row r="101">
          <cell r="E101">
            <v>8.5299999999999994</v>
          </cell>
          <cell r="F101">
            <v>8.4600000000000009</v>
          </cell>
          <cell r="G101">
            <v>8.68</v>
          </cell>
          <cell r="H101">
            <v>8.75</v>
          </cell>
          <cell r="I101">
            <v>9</v>
          </cell>
          <cell r="J101">
            <v>9.2200000000000006</v>
          </cell>
          <cell r="K101">
            <v>9.56</v>
          </cell>
          <cell r="L101">
            <v>8.92</v>
          </cell>
          <cell r="M101">
            <v>8.33</v>
          </cell>
          <cell r="N101">
            <v>7.63</v>
          </cell>
          <cell r="O101">
            <v>6.68</v>
          </cell>
          <cell r="P101">
            <v>2.98</v>
          </cell>
          <cell r="Q101">
            <v>2.99</v>
          </cell>
        </row>
        <row r="102">
          <cell r="E102">
            <v>10.59</v>
          </cell>
          <cell r="F102">
            <v>10.84</v>
          </cell>
          <cell r="G102">
            <v>11.18</v>
          </cell>
          <cell r="H102">
            <v>11.32</v>
          </cell>
          <cell r="I102">
            <v>11.67</v>
          </cell>
          <cell r="J102">
            <v>12.03</v>
          </cell>
          <cell r="K102">
            <v>12.44</v>
          </cell>
          <cell r="L102">
            <v>11.84</v>
          </cell>
          <cell r="M102">
            <v>11.28</v>
          </cell>
          <cell r="N102">
            <v>10.64</v>
          </cell>
          <cell r="O102">
            <v>9.66</v>
          </cell>
          <cell r="P102">
            <v>5.41</v>
          </cell>
          <cell r="Q102">
            <v>5.4</v>
          </cell>
        </row>
        <row r="103">
          <cell r="E103">
            <v>9.6300000000000008</v>
          </cell>
          <cell r="F103">
            <v>9.43</v>
          </cell>
          <cell r="G103">
            <v>9.65</v>
          </cell>
          <cell r="H103">
            <v>9.7899999999999991</v>
          </cell>
          <cell r="I103">
            <v>10.119999999999999</v>
          </cell>
          <cell r="J103">
            <v>10.44</v>
          </cell>
          <cell r="K103">
            <v>10.85</v>
          </cell>
          <cell r="L103">
            <v>10.27</v>
          </cell>
          <cell r="M103">
            <v>9.74</v>
          </cell>
          <cell r="N103">
            <v>9.11</v>
          </cell>
          <cell r="O103">
            <v>8.24</v>
          </cell>
          <cell r="P103">
            <v>5</v>
          </cell>
          <cell r="Q103">
            <v>5.14</v>
          </cell>
        </row>
        <row r="104">
          <cell r="E104">
            <v>10.42</v>
          </cell>
          <cell r="F104">
            <v>11.08</v>
          </cell>
          <cell r="G104">
            <v>11.44</v>
          </cell>
          <cell r="H104">
            <v>11.58</v>
          </cell>
          <cell r="I104">
            <v>11.95</v>
          </cell>
          <cell r="J104">
            <v>12.31</v>
          </cell>
          <cell r="K104">
            <v>12.73</v>
          </cell>
          <cell r="L104">
            <v>12.13</v>
          </cell>
          <cell r="M104">
            <v>11.57</v>
          </cell>
          <cell r="N104">
            <v>10.93</v>
          </cell>
          <cell r="O104">
            <v>9.93</v>
          </cell>
          <cell r="P104">
            <v>5.81</v>
          </cell>
          <cell r="Q104">
            <v>5.77</v>
          </cell>
        </row>
        <row r="105">
          <cell r="E105">
            <v>9.1199999999999992</v>
          </cell>
          <cell r="F105">
            <v>9.06</v>
          </cell>
          <cell r="G105">
            <v>9.36</v>
          </cell>
          <cell r="H105">
            <v>9.5399999999999991</v>
          </cell>
          <cell r="I105">
            <v>9.92</v>
          </cell>
          <cell r="J105">
            <v>10.28</v>
          </cell>
          <cell r="K105">
            <v>10.74</v>
          </cell>
          <cell r="L105">
            <v>10.210000000000001</v>
          </cell>
          <cell r="M105">
            <v>9.7100000000000009</v>
          </cell>
          <cell r="N105">
            <v>9.11</v>
          </cell>
          <cell r="O105">
            <v>8.1999999999999993</v>
          </cell>
          <cell r="P105">
            <v>5.31</v>
          </cell>
          <cell r="Q105">
            <v>5.25</v>
          </cell>
        </row>
        <row r="106">
          <cell r="E106">
            <v>10.58</v>
          </cell>
          <cell r="F106">
            <v>10.52</v>
          </cell>
          <cell r="G106">
            <v>10.82</v>
          </cell>
          <cell r="H106">
            <v>10.89</v>
          </cell>
          <cell r="I106">
            <v>11.15</v>
          </cell>
          <cell r="J106">
            <v>11.42</v>
          </cell>
          <cell r="K106">
            <v>11.75</v>
          </cell>
          <cell r="L106">
            <v>11.07</v>
          </cell>
          <cell r="M106">
            <v>10.45</v>
          </cell>
          <cell r="N106">
            <v>9.7200000000000006</v>
          </cell>
          <cell r="O106">
            <v>8.7100000000000009</v>
          </cell>
          <cell r="P106">
            <v>5.63</v>
          </cell>
          <cell r="Q106">
            <v>5.83</v>
          </cell>
        </row>
      </sheetData>
      <sheetData sheetId="5">
        <row r="2">
          <cell r="D2">
            <v>11.79</v>
          </cell>
          <cell r="E2">
            <v>12.065</v>
          </cell>
          <cell r="F2">
            <v>12.33</v>
          </cell>
          <cell r="G2">
            <v>12.706</v>
          </cell>
          <cell r="H2">
            <v>13.05</v>
          </cell>
          <cell r="I2">
            <v>12.86</v>
          </cell>
          <cell r="J2">
            <v>12.6</v>
          </cell>
          <cell r="K2">
            <v>12.21</v>
          </cell>
          <cell r="L2">
            <v>11.61</v>
          </cell>
          <cell r="M2">
            <v>11.49</v>
          </cell>
          <cell r="N2">
            <v>10.11</v>
          </cell>
          <cell r="O2">
            <v>10.78</v>
          </cell>
        </row>
        <row r="3">
          <cell r="D3">
            <v>12.7788</v>
          </cell>
          <cell r="E3">
            <v>12.509</v>
          </cell>
          <cell r="F3">
            <v>12.208</v>
          </cell>
          <cell r="G3">
            <v>11.986000000000001</v>
          </cell>
          <cell r="H3">
            <v>11.69</v>
          </cell>
          <cell r="I3">
            <v>10.83</v>
          </cell>
          <cell r="J3">
            <v>10.35</v>
          </cell>
          <cell r="K3">
            <v>8.84</v>
          </cell>
          <cell r="L3">
            <v>7.74</v>
          </cell>
          <cell r="M3">
            <v>7.55</v>
          </cell>
          <cell r="N3">
            <v>6.29</v>
          </cell>
          <cell r="O3">
            <v>6.65</v>
          </cell>
        </row>
        <row r="4">
          <cell r="D4">
            <v>9.6110000000000007</v>
          </cell>
          <cell r="E4">
            <v>9.1300000000000008</v>
          </cell>
          <cell r="F4">
            <v>8.5879999999999992</v>
          </cell>
          <cell r="G4">
            <v>8.0950000000000006</v>
          </cell>
          <cell r="H4">
            <v>7.49</v>
          </cell>
          <cell r="I4">
            <v>6.52</v>
          </cell>
          <cell r="J4">
            <v>6.02</v>
          </cell>
          <cell r="K4">
            <v>4.99</v>
          </cell>
          <cell r="L4">
            <v>3.07</v>
          </cell>
          <cell r="M4">
            <v>2.82</v>
          </cell>
          <cell r="N4">
            <v>0.32</v>
          </cell>
          <cell r="O4">
            <v>-0.59</v>
          </cell>
        </row>
        <row r="5">
          <cell r="D5">
            <v>10.33</v>
          </cell>
          <cell r="E5">
            <v>9.7880000000000003</v>
          </cell>
          <cell r="F5">
            <v>9.18</v>
          </cell>
          <cell r="G5">
            <v>8.6280000000000001</v>
          </cell>
          <cell r="H5">
            <v>7.96</v>
          </cell>
          <cell r="I5">
            <v>6.88</v>
          </cell>
          <cell r="J5">
            <v>6.35</v>
          </cell>
          <cell r="K5">
            <v>5.22</v>
          </cell>
          <cell r="L5">
            <v>3.12</v>
          </cell>
          <cell r="M5">
            <v>2.86</v>
          </cell>
          <cell r="N5">
            <v>0.36</v>
          </cell>
          <cell r="O5">
            <v>-0.54</v>
          </cell>
        </row>
        <row r="6">
          <cell r="D6">
            <v>7.9539999999999997</v>
          </cell>
          <cell r="E6">
            <v>7.2</v>
          </cell>
          <cell r="F6">
            <v>6.359</v>
          </cell>
          <cell r="G6">
            <v>5.54</v>
          </cell>
          <cell r="H6">
            <v>4.6100000000000003</v>
          </cell>
          <cell r="I6">
            <v>3.42</v>
          </cell>
          <cell r="J6">
            <v>2.87</v>
          </cell>
          <cell r="K6">
            <v>1.67</v>
          </cell>
          <cell r="L6">
            <v>-0.62</v>
          </cell>
          <cell r="M6">
            <v>-0.9</v>
          </cell>
          <cell r="N6">
            <v>-3.2</v>
          </cell>
          <cell r="O6">
            <v>-4.41</v>
          </cell>
        </row>
        <row r="7">
          <cell r="D7">
            <v>11.48</v>
          </cell>
          <cell r="E7">
            <v>11.319000000000001</v>
          </cell>
          <cell r="F7">
            <v>11.12</v>
          </cell>
          <cell r="G7">
            <v>11.003</v>
          </cell>
          <cell r="H7">
            <v>10.85</v>
          </cell>
          <cell r="I7">
            <v>10.199999999999999</v>
          </cell>
          <cell r="J7">
            <v>9.82</v>
          </cell>
          <cell r="K7">
            <v>9.0299999999999994</v>
          </cell>
          <cell r="L7">
            <v>7.64</v>
          </cell>
          <cell r="M7">
            <v>7.49</v>
          </cell>
          <cell r="N7">
            <v>7.83</v>
          </cell>
          <cell r="O7">
            <v>8.9499999999999993</v>
          </cell>
        </row>
        <row r="8">
          <cell r="D8">
            <v>10.795500000000001</v>
          </cell>
          <cell r="E8">
            <v>9.8279999999999994</v>
          </cell>
          <cell r="F8">
            <v>8.7750000000000004</v>
          </cell>
          <cell r="G8">
            <v>7.75</v>
          </cell>
          <cell r="H8">
            <v>6.64</v>
          </cell>
          <cell r="I8">
            <v>5.1100000000000003</v>
          </cell>
          <cell r="J8">
            <v>4.46</v>
          </cell>
          <cell r="K8">
            <v>2.94</v>
          </cell>
          <cell r="L8">
            <v>0.06</v>
          </cell>
          <cell r="M8">
            <v>-0.19</v>
          </cell>
          <cell r="N8">
            <v>0</v>
          </cell>
          <cell r="O8">
            <v>0</v>
          </cell>
        </row>
        <row r="9">
          <cell r="D9">
            <v>11.532999999999999</v>
          </cell>
          <cell r="E9">
            <v>11.49</v>
          </cell>
          <cell r="F9">
            <v>11.426</v>
          </cell>
          <cell r="G9">
            <v>11.44</v>
          </cell>
          <cell r="H9">
            <v>11.35</v>
          </cell>
          <cell r="I9">
            <v>10.77</v>
          </cell>
          <cell r="J9">
            <v>10.37</v>
          </cell>
          <cell r="K9">
            <v>9.64</v>
          </cell>
          <cell r="L9">
            <v>8.3800000000000008</v>
          </cell>
          <cell r="M9">
            <v>8.16</v>
          </cell>
          <cell r="N9">
            <v>6.45</v>
          </cell>
          <cell r="O9">
            <v>6.62</v>
          </cell>
        </row>
        <row r="10"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D11">
            <v>7.79</v>
          </cell>
          <cell r="E11">
            <v>7.0510000000000002</v>
          </cell>
          <cell r="F11">
            <v>6.22</v>
          </cell>
          <cell r="G11">
            <v>5.4160000000000004</v>
          </cell>
          <cell r="H11">
            <v>4.51</v>
          </cell>
          <cell r="I11">
            <v>3.34</v>
          </cell>
          <cell r="J11">
            <v>2.81</v>
          </cell>
          <cell r="K11">
            <v>1.64</v>
          </cell>
          <cell r="L11">
            <v>-0.61</v>
          </cell>
          <cell r="M11">
            <v>-0.88</v>
          </cell>
          <cell r="N11">
            <v>-3.16</v>
          </cell>
          <cell r="O11">
            <v>-4.37</v>
          </cell>
        </row>
        <row r="12">
          <cell r="D12">
            <v>11.58</v>
          </cell>
          <cell r="E12">
            <v>11.86</v>
          </cell>
          <cell r="F12">
            <v>12.14</v>
          </cell>
          <cell r="G12">
            <v>12.52</v>
          </cell>
          <cell r="H12">
            <v>12.87</v>
          </cell>
          <cell r="I12">
            <v>12.71</v>
          </cell>
          <cell r="J12">
            <v>12.45</v>
          </cell>
          <cell r="K12">
            <v>12.08</v>
          </cell>
          <cell r="L12">
            <v>11.52</v>
          </cell>
          <cell r="M12">
            <v>11.4</v>
          </cell>
          <cell r="N12">
            <v>10.33</v>
          </cell>
          <cell r="O12">
            <v>11.12</v>
          </cell>
        </row>
        <row r="13"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10.99</v>
          </cell>
          <cell r="E14">
            <v>10.996</v>
          </cell>
          <cell r="F14">
            <v>11.2355</v>
          </cell>
          <cell r="G14">
            <v>11.553000000000001</v>
          </cell>
          <cell r="H14">
            <v>11.82</v>
          </cell>
          <cell r="I14">
            <v>11.58</v>
          </cell>
          <cell r="J14">
            <v>11.09</v>
          </cell>
          <cell r="K14">
            <v>10.5</v>
          </cell>
          <cell r="L14">
            <v>9.77</v>
          </cell>
          <cell r="M14">
            <v>9.57</v>
          </cell>
          <cell r="N14">
            <v>3.91</v>
          </cell>
          <cell r="O14">
            <v>2.83</v>
          </cell>
        </row>
        <row r="15">
          <cell r="D15">
            <v>7.2030000000000003</v>
          </cell>
          <cell r="E15">
            <v>6.3970000000000002</v>
          </cell>
          <cell r="F15">
            <v>5.7</v>
          </cell>
          <cell r="G15">
            <v>5.0199999999999996</v>
          </cell>
          <cell r="H15">
            <v>4.29</v>
          </cell>
          <cell r="I15">
            <v>3.31</v>
          </cell>
          <cell r="J15">
            <v>2.78</v>
          </cell>
          <cell r="K15">
            <v>1.72</v>
          </cell>
          <cell r="L15">
            <v>-0.17</v>
          </cell>
          <cell r="M15">
            <v>-0.34</v>
          </cell>
          <cell r="N15">
            <v>-5.8</v>
          </cell>
          <cell r="O15">
            <v>-7.29</v>
          </cell>
        </row>
        <row r="16">
          <cell r="D16">
            <v>10.56</v>
          </cell>
          <cell r="E16">
            <v>10.185</v>
          </cell>
          <cell r="F16">
            <v>10</v>
          </cell>
          <cell r="G16">
            <v>9.8699999999999992</v>
          </cell>
          <cell r="H16">
            <v>9.6300000000000008</v>
          </cell>
          <cell r="I16">
            <v>8.94</v>
          </cell>
          <cell r="J16">
            <v>8.36</v>
          </cell>
          <cell r="K16">
            <v>7.44</v>
          </cell>
          <cell r="L16">
            <v>6.01</v>
          </cell>
          <cell r="M16">
            <v>5.74</v>
          </cell>
          <cell r="N16">
            <v>0.59</v>
          </cell>
          <cell r="O16">
            <v>-0.21</v>
          </cell>
        </row>
        <row r="17">
          <cell r="D17">
            <v>9.44</v>
          </cell>
          <cell r="E17">
            <v>8.8000000000000007</v>
          </cell>
          <cell r="F17">
            <v>8.3190000000000008</v>
          </cell>
          <cell r="G17">
            <v>7.87</v>
          </cell>
          <cell r="H17">
            <v>7.37</v>
          </cell>
          <cell r="I17">
            <v>6.48</v>
          </cell>
          <cell r="J17">
            <v>5.92</v>
          </cell>
          <cell r="K17">
            <v>4.88</v>
          </cell>
          <cell r="L17">
            <v>3.13</v>
          </cell>
          <cell r="M17">
            <v>2.93</v>
          </cell>
          <cell r="N17">
            <v>-3.11</v>
          </cell>
          <cell r="O17">
            <v>-4.6100000000000003</v>
          </cell>
        </row>
        <row r="18">
          <cell r="D18">
            <v>11.93</v>
          </cell>
          <cell r="E18">
            <v>11.867000000000001</v>
          </cell>
          <cell r="F18">
            <v>12.038600000000001</v>
          </cell>
          <cell r="G18">
            <v>12.29</v>
          </cell>
          <cell r="H18">
            <v>12.52</v>
          </cell>
          <cell r="I18">
            <v>12.19</v>
          </cell>
          <cell r="J18">
            <v>11.67</v>
          </cell>
          <cell r="K18">
            <v>10.99</v>
          </cell>
          <cell r="L18">
            <v>10.1</v>
          </cell>
          <cell r="M18">
            <v>9.8800000000000008</v>
          </cell>
          <cell r="N18">
            <v>4.28</v>
          </cell>
          <cell r="O18">
            <v>3.24</v>
          </cell>
        </row>
        <row r="19">
          <cell r="D19">
            <v>10.5</v>
          </cell>
          <cell r="E19">
            <v>10.188000000000001</v>
          </cell>
          <cell r="F19">
            <v>10.067</v>
          </cell>
          <cell r="G19">
            <v>10.007999999999999</v>
          </cell>
          <cell r="H19">
            <v>9.93</v>
          </cell>
          <cell r="I19">
            <v>9.4</v>
          </cell>
          <cell r="J19">
            <v>8.8800000000000008</v>
          </cell>
          <cell r="K19">
            <v>8.08</v>
          </cell>
          <cell r="L19">
            <v>6.86</v>
          </cell>
          <cell r="M19">
            <v>6.67</v>
          </cell>
          <cell r="N19">
            <v>1.1100000000000001</v>
          </cell>
          <cell r="O19">
            <v>-7.0000000000000007E-2</v>
          </cell>
        </row>
        <row r="20">
          <cell r="D20">
            <v>8.6199999999999992</v>
          </cell>
          <cell r="E20">
            <v>8.3059999999999992</v>
          </cell>
          <cell r="F20">
            <v>8.1639999999999997</v>
          </cell>
          <cell r="G20">
            <v>8.07</v>
          </cell>
          <cell r="H20">
            <v>7.98</v>
          </cell>
          <cell r="I20">
            <v>7.52</v>
          </cell>
          <cell r="J20">
            <v>7.06</v>
          </cell>
          <cell r="K20">
            <v>6.35</v>
          </cell>
          <cell r="L20">
            <v>5.26</v>
          </cell>
          <cell r="M20">
            <v>5.09</v>
          </cell>
          <cell r="N20">
            <v>-0.16</v>
          </cell>
          <cell r="O20">
            <v>-1.25</v>
          </cell>
        </row>
        <row r="21">
          <cell r="L21">
            <v>0</v>
          </cell>
          <cell r="M21">
            <v>0</v>
          </cell>
          <cell r="N21">
            <v>-5.12</v>
          </cell>
          <cell r="O21">
            <v>-6.62</v>
          </cell>
        </row>
        <row r="22">
          <cell r="D22">
            <v>7.2270000000000003</v>
          </cell>
          <cell r="E22">
            <v>6.67</v>
          </cell>
          <cell r="F22">
            <v>6.2519999999999998</v>
          </cell>
          <cell r="G22">
            <v>5.8630000000000004</v>
          </cell>
          <cell r="H22">
            <v>5.45</v>
          </cell>
          <cell r="I22">
            <v>4.75</v>
          </cell>
          <cell r="J22">
            <v>4.28</v>
          </cell>
          <cell r="K22">
            <v>3.43</v>
          </cell>
          <cell r="L22">
            <v>1.98</v>
          </cell>
          <cell r="M22">
            <v>1.77</v>
          </cell>
          <cell r="N22">
            <v>-3.84</v>
          </cell>
          <cell r="O22">
            <v>-5.25</v>
          </cell>
        </row>
        <row r="23">
          <cell r="D23">
            <v>11.635999999999999</v>
          </cell>
          <cell r="E23">
            <v>11.313000000000001</v>
          </cell>
          <cell r="F23">
            <v>11.196</v>
          </cell>
          <cell r="G23">
            <v>11.1457</v>
          </cell>
          <cell r="H23">
            <v>10.99</v>
          </cell>
          <cell r="I23">
            <v>10.32</v>
          </cell>
          <cell r="J23">
            <v>9.73</v>
          </cell>
          <cell r="K23">
            <v>8.8000000000000007</v>
          </cell>
          <cell r="L23">
            <v>7.4</v>
          </cell>
          <cell r="M23">
            <v>6.94</v>
          </cell>
          <cell r="N23">
            <v>1.5</v>
          </cell>
          <cell r="O23">
            <v>0.41</v>
          </cell>
        </row>
        <row r="24">
          <cell r="D24">
            <v>8.8239999999999998</v>
          </cell>
          <cell r="E24">
            <v>7.97</v>
          </cell>
          <cell r="F24">
            <v>7.1109999999999998</v>
          </cell>
          <cell r="G24">
            <v>6.4050000000000002</v>
          </cell>
          <cell r="H24">
            <v>5.46</v>
          </cell>
          <cell r="I24">
            <v>4.45</v>
          </cell>
          <cell r="J24">
            <v>4.42</v>
          </cell>
          <cell r="K24">
            <v>3.38</v>
          </cell>
          <cell r="L24">
            <v>1.83</v>
          </cell>
          <cell r="M24">
            <v>1.95</v>
          </cell>
          <cell r="N24">
            <v>0</v>
          </cell>
          <cell r="O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10.069000000000001</v>
          </cell>
          <cell r="E27">
            <v>9.3765000000000001</v>
          </cell>
          <cell r="F27">
            <v>8.7146000000000008</v>
          </cell>
          <cell r="G27">
            <v>8.2754999999999992</v>
          </cell>
          <cell r="H27">
            <v>7.68</v>
          </cell>
          <cell r="I27">
            <v>6.98</v>
          </cell>
          <cell r="J27">
            <v>6.83</v>
          </cell>
          <cell r="K27">
            <v>6.17</v>
          </cell>
          <cell r="L27">
            <v>5.03</v>
          </cell>
          <cell r="M27">
            <v>5.25</v>
          </cell>
          <cell r="N27">
            <v>0.18</v>
          </cell>
          <cell r="O27">
            <v>-2.34</v>
          </cell>
        </row>
        <row r="28">
          <cell r="D28">
            <v>10.034700000000001</v>
          </cell>
          <cell r="E28">
            <v>9.6273</v>
          </cell>
          <cell r="F28">
            <v>9.2847000000000008</v>
          </cell>
          <cell r="G28">
            <v>9.2350999999999992</v>
          </cell>
          <cell r="H28">
            <v>8.99</v>
          </cell>
          <cell r="I28">
            <v>8.64</v>
          </cell>
          <cell r="J28">
            <v>8.5500000000000007</v>
          </cell>
          <cell r="K28">
            <v>8.14</v>
          </cell>
          <cell r="L28">
            <v>7.54</v>
          </cell>
          <cell r="M28">
            <v>7.75</v>
          </cell>
          <cell r="N28">
            <v>2.7</v>
          </cell>
          <cell r="O28">
            <v>0.16</v>
          </cell>
        </row>
        <row r="29">
          <cell r="D29">
            <v>13.478999999999999</v>
          </cell>
          <cell r="E29">
            <v>12.715999999999999</v>
          </cell>
          <cell r="F29">
            <v>12.023</v>
          </cell>
          <cell r="G29">
            <v>11.6244</v>
          </cell>
          <cell r="H29">
            <v>10.6</v>
          </cell>
          <cell r="I29">
            <v>9.41</v>
          </cell>
          <cell r="J29">
            <v>8.9499999999999993</v>
          </cell>
          <cell r="K29">
            <v>7.81</v>
          </cell>
          <cell r="L29">
            <v>6.18</v>
          </cell>
          <cell r="M29">
            <v>5.92</v>
          </cell>
          <cell r="N29">
            <v>0.68</v>
          </cell>
          <cell r="O29">
            <v>-1.74</v>
          </cell>
        </row>
        <row r="30">
          <cell r="D30">
            <v>6.6086999999999998</v>
          </cell>
          <cell r="E30">
            <v>5.6829999999999998</v>
          </cell>
          <cell r="F30">
            <v>4.7110000000000003</v>
          </cell>
          <cell r="G30">
            <v>3.8180000000000001</v>
          </cell>
          <cell r="H30">
            <v>2.79</v>
          </cell>
          <cell r="I30">
            <v>1.74</v>
          </cell>
          <cell r="J30">
            <v>1.58</v>
          </cell>
          <cell r="K30">
            <v>0.79</v>
          </cell>
          <cell r="L30">
            <v>-0.77</v>
          </cell>
          <cell r="M30">
            <v>-0.6</v>
          </cell>
          <cell r="N30">
            <v>-5.23</v>
          </cell>
          <cell r="O30">
            <v>-7.98</v>
          </cell>
        </row>
        <row r="31">
          <cell r="D31">
            <v>6.7744999999999997</v>
          </cell>
          <cell r="E31">
            <v>5.84</v>
          </cell>
          <cell r="F31">
            <v>4.8600000000000003</v>
          </cell>
          <cell r="G31">
            <v>3.9630000000000001</v>
          </cell>
          <cell r="H31">
            <v>2.93</v>
          </cell>
          <cell r="I31">
            <v>1.87</v>
          </cell>
          <cell r="J31">
            <v>1.71</v>
          </cell>
          <cell r="K31">
            <v>0.9</v>
          </cell>
          <cell r="L31">
            <v>-0.67</v>
          </cell>
          <cell r="M31">
            <v>-0.5</v>
          </cell>
          <cell r="N31">
            <v>-5.21</v>
          </cell>
          <cell r="O31">
            <v>-7.97</v>
          </cell>
        </row>
        <row r="32">
          <cell r="D32">
            <v>8.2859999999999996</v>
          </cell>
          <cell r="E32">
            <v>7.4640000000000004</v>
          </cell>
          <cell r="F32">
            <v>6.6325000000000003</v>
          </cell>
          <cell r="G32">
            <v>5.9470000000000001</v>
          </cell>
          <cell r="H32">
            <v>5.03</v>
          </cell>
          <cell r="I32">
            <v>4.07</v>
          </cell>
          <cell r="J32">
            <v>3.87</v>
          </cell>
          <cell r="K32">
            <v>3.07</v>
          </cell>
          <cell r="L32">
            <v>1.61</v>
          </cell>
          <cell r="M32">
            <v>1.81</v>
          </cell>
          <cell r="N32">
            <v>-2.68</v>
          </cell>
          <cell r="O32">
            <v>-5.21</v>
          </cell>
        </row>
        <row r="33">
          <cell r="D33">
            <v>9.2200000000000006</v>
          </cell>
          <cell r="E33">
            <v>8.5739999999999998</v>
          </cell>
          <cell r="F33">
            <v>7.9480000000000004</v>
          </cell>
          <cell r="G33">
            <v>7.53</v>
          </cell>
          <cell r="H33">
            <v>6.96</v>
          </cell>
          <cell r="I33">
            <v>6.31</v>
          </cell>
          <cell r="J33">
            <v>5.98</v>
          </cell>
          <cell r="K33">
            <v>5.31</v>
          </cell>
          <cell r="L33">
            <v>4.17</v>
          </cell>
          <cell r="M33">
            <v>4.3899999999999997</v>
          </cell>
          <cell r="N33">
            <v>-0.66</v>
          </cell>
          <cell r="O33">
            <v>-3.28</v>
          </cell>
        </row>
        <row r="34">
          <cell r="D34">
            <v>10.326000000000001</v>
          </cell>
          <cell r="E34">
            <v>9.9260000000000002</v>
          </cell>
          <cell r="F34">
            <v>9.5960000000000001</v>
          </cell>
          <cell r="G34">
            <v>9.5630000000000006</v>
          </cell>
          <cell r="H34">
            <v>9.2899999999999991</v>
          </cell>
          <cell r="I34">
            <v>8.91</v>
          </cell>
          <cell r="J34">
            <v>8.7799999999999994</v>
          </cell>
          <cell r="K34">
            <v>8.34</v>
          </cell>
          <cell r="L34">
            <v>7.7</v>
          </cell>
          <cell r="M34">
            <v>7.79</v>
          </cell>
          <cell r="N34">
            <v>2.17</v>
          </cell>
          <cell r="O34">
            <v>-0.54</v>
          </cell>
        </row>
        <row r="35">
          <cell r="D35">
            <v>8.8758999999999997</v>
          </cell>
          <cell r="E35">
            <v>8.0190000000000001</v>
          </cell>
          <cell r="F35">
            <v>7.1559999999999997</v>
          </cell>
          <cell r="G35">
            <v>6.4470000000000001</v>
          </cell>
          <cell r="H35">
            <v>5.45</v>
          </cell>
          <cell r="I35">
            <v>4.3899999999999997</v>
          </cell>
          <cell r="J35">
            <v>4.1399999999999997</v>
          </cell>
          <cell r="K35">
            <v>3.25</v>
          </cell>
          <cell r="L35">
            <v>1.64</v>
          </cell>
          <cell r="M35">
            <v>1.72</v>
          </cell>
          <cell r="N35">
            <v>-2.5</v>
          </cell>
          <cell r="O35">
            <v>-4.95</v>
          </cell>
        </row>
        <row r="36">
          <cell r="D36">
            <v>10.593999999999999</v>
          </cell>
          <cell r="E36">
            <v>10.176</v>
          </cell>
          <cell r="F36">
            <v>9.8290000000000006</v>
          </cell>
          <cell r="G36">
            <v>9.7799999999999994</v>
          </cell>
          <cell r="H36">
            <v>9.49</v>
          </cell>
          <cell r="I36">
            <v>9.09</v>
          </cell>
          <cell r="J36">
            <v>8.9600000000000009</v>
          </cell>
          <cell r="K36">
            <v>8.49</v>
          </cell>
          <cell r="L36">
            <v>7.8</v>
          </cell>
          <cell r="M36">
            <v>8</v>
          </cell>
          <cell r="N36">
            <v>3.13</v>
          </cell>
          <cell r="O36">
            <v>0.7</v>
          </cell>
        </row>
        <row r="37">
          <cell r="D37">
            <v>8.1999999999999993</v>
          </cell>
          <cell r="E37">
            <v>8.3000000000000007</v>
          </cell>
          <cell r="F37">
            <v>7.99</v>
          </cell>
          <cell r="G37">
            <v>7.82</v>
          </cell>
          <cell r="H37">
            <v>7.44</v>
          </cell>
          <cell r="I37">
            <v>6.94</v>
          </cell>
          <cell r="J37">
            <v>6.91</v>
          </cell>
          <cell r="K37">
            <v>6.69</v>
          </cell>
          <cell r="L37">
            <v>6.41</v>
          </cell>
          <cell r="M37">
            <v>6.23</v>
          </cell>
          <cell r="N37">
            <v>6.22</v>
          </cell>
          <cell r="O37">
            <v>5.73</v>
          </cell>
        </row>
        <row r="38">
          <cell r="D38">
            <v>12.3</v>
          </cell>
          <cell r="E38">
            <v>12.87</v>
          </cell>
          <cell r="F38">
            <v>12.8</v>
          </cell>
          <cell r="G38">
            <v>12.97</v>
          </cell>
          <cell r="H38">
            <v>12.52</v>
          </cell>
          <cell r="I38">
            <v>11.86</v>
          </cell>
          <cell r="J38">
            <v>11.73</v>
          </cell>
          <cell r="K38">
            <v>11.48</v>
          </cell>
          <cell r="L38">
            <v>11.04</v>
          </cell>
          <cell r="M38">
            <v>10.45</v>
          </cell>
          <cell r="N38">
            <v>9.11</v>
          </cell>
          <cell r="O38">
            <v>8.16</v>
          </cell>
        </row>
        <row r="39">
          <cell r="D39">
            <v>12.24</v>
          </cell>
          <cell r="E39">
            <v>12.34</v>
          </cell>
          <cell r="F39">
            <v>11.85</v>
          </cell>
          <cell r="G39">
            <v>11.56</v>
          </cell>
          <cell r="H39">
            <v>10.99</v>
          </cell>
          <cell r="I39">
            <v>10.210000000000001</v>
          </cell>
          <cell r="J39">
            <v>10.16</v>
          </cell>
          <cell r="K39">
            <v>9.52</v>
          </cell>
          <cell r="L39">
            <v>3.85</v>
          </cell>
          <cell r="M39">
            <v>3.75</v>
          </cell>
          <cell r="N39">
            <v>3.86</v>
          </cell>
          <cell r="O39">
            <v>3.6</v>
          </cell>
        </row>
        <row r="40">
          <cell r="D40">
            <v>12.08</v>
          </cell>
          <cell r="E40">
            <v>12.24</v>
          </cell>
          <cell r="F40">
            <v>11.82</v>
          </cell>
          <cell r="G40">
            <v>11.59</v>
          </cell>
          <cell r="H40">
            <v>11.04</v>
          </cell>
          <cell r="I40">
            <v>10.29</v>
          </cell>
          <cell r="J40">
            <v>10.210000000000001</v>
          </cell>
          <cell r="K40">
            <v>9.8699999999999992</v>
          </cell>
          <cell r="L40">
            <v>9.15</v>
          </cell>
          <cell r="M40">
            <v>8.85</v>
          </cell>
          <cell r="N40">
            <v>8.9600000000000009</v>
          </cell>
          <cell r="O40">
            <v>8.27</v>
          </cell>
        </row>
        <row r="41">
          <cell r="D41">
            <v>11.97</v>
          </cell>
          <cell r="E41">
            <v>12.14</v>
          </cell>
          <cell r="F41">
            <v>11.72</v>
          </cell>
          <cell r="G41">
            <v>11.51</v>
          </cell>
          <cell r="H41">
            <v>11.03</v>
          </cell>
          <cell r="I41">
            <v>10.36</v>
          </cell>
          <cell r="J41">
            <v>10.33</v>
          </cell>
          <cell r="K41">
            <v>10.07</v>
          </cell>
          <cell r="L41">
            <v>9.48</v>
          </cell>
          <cell r="M41">
            <v>9.3000000000000007</v>
          </cell>
          <cell r="N41">
            <v>9.09</v>
          </cell>
          <cell r="O41">
            <v>8.3000000000000007</v>
          </cell>
        </row>
        <row r="42">
          <cell r="D42">
            <v>11.85</v>
          </cell>
          <cell r="E42">
            <v>11.99</v>
          </cell>
          <cell r="F42">
            <v>11.54</v>
          </cell>
          <cell r="G42">
            <v>11.28</v>
          </cell>
          <cell r="H42">
            <v>10.74</v>
          </cell>
          <cell r="I42">
            <v>10.02</v>
          </cell>
          <cell r="J42">
            <v>9.9700000000000006</v>
          </cell>
          <cell r="K42">
            <v>9.66</v>
          </cell>
          <cell r="L42">
            <v>8.98</v>
          </cell>
          <cell r="M42">
            <v>8.76</v>
          </cell>
          <cell r="N42">
            <v>8.83</v>
          </cell>
          <cell r="O42">
            <v>8.11</v>
          </cell>
        </row>
        <row r="43">
          <cell r="D43">
            <v>11.72</v>
          </cell>
          <cell r="E43">
            <v>11.9</v>
          </cell>
          <cell r="F43">
            <v>11.49</v>
          </cell>
          <cell r="G43">
            <v>11.27</v>
          </cell>
          <cell r="H43">
            <v>10.75</v>
          </cell>
          <cell r="I43">
            <v>10.06</v>
          </cell>
          <cell r="J43">
            <v>10.01</v>
          </cell>
          <cell r="K43">
            <v>11.33</v>
          </cell>
          <cell r="L43">
            <v>10.69</v>
          </cell>
          <cell r="M43">
            <v>10.19</v>
          </cell>
          <cell r="N43">
            <v>11.01</v>
          </cell>
          <cell r="O43">
            <v>10.77</v>
          </cell>
        </row>
        <row r="44">
          <cell r="D44">
            <v>11.71</v>
          </cell>
          <cell r="E44">
            <v>12.03</v>
          </cell>
          <cell r="F44">
            <v>11.74</v>
          </cell>
          <cell r="G44">
            <v>11.66</v>
          </cell>
          <cell r="H44">
            <v>11.28</v>
          </cell>
          <cell r="I44">
            <v>10.7</v>
          </cell>
          <cell r="J44">
            <v>10.63</v>
          </cell>
          <cell r="K44">
            <v>10.47</v>
          </cell>
          <cell r="L44">
            <v>10.18</v>
          </cell>
          <cell r="M44">
            <v>9.9</v>
          </cell>
          <cell r="N44">
            <v>9.4600000000000009</v>
          </cell>
          <cell r="O44">
            <v>8.6300000000000008</v>
          </cell>
        </row>
        <row r="45">
          <cell r="D45">
            <v>12.93</v>
          </cell>
          <cell r="E45">
            <v>13.13</v>
          </cell>
          <cell r="F45">
            <v>12.72</v>
          </cell>
          <cell r="G45">
            <v>12.53</v>
          </cell>
          <cell r="H45">
            <v>11.93</v>
          </cell>
          <cell r="I45">
            <v>11.1</v>
          </cell>
          <cell r="J45">
            <v>10.96</v>
          </cell>
          <cell r="K45">
            <v>10.56</v>
          </cell>
          <cell r="L45">
            <v>9.4</v>
          </cell>
          <cell r="M45">
            <v>9.0299999999999994</v>
          </cell>
          <cell r="N45">
            <v>9.64</v>
          </cell>
          <cell r="O45">
            <v>9.2100000000000009</v>
          </cell>
        </row>
        <row r="46">
          <cell r="D46">
            <v>13.64</v>
          </cell>
          <cell r="E46">
            <v>13.84</v>
          </cell>
          <cell r="F46">
            <v>13.42</v>
          </cell>
          <cell r="G46">
            <v>13.22</v>
          </cell>
          <cell r="H46">
            <v>12.47</v>
          </cell>
          <cell r="I46">
            <v>11.46</v>
          </cell>
          <cell r="J46">
            <v>11.23</v>
          </cell>
          <cell r="K46">
            <v>10.66</v>
          </cell>
          <cell r="L46">
            <v>9.23</v>
          </cell>
          <cell r="M46">
            <v>8.93</v>
          </cell>
          <cell r="N46">
            <v>8.2799999999999994</v>
          </cell>
          <cell r="O46">
            <v>7.46</v>
          </cell>
        </row>
        <row r="47">
          <cell r="D47">
            <v>10.59</v>
          </cell>
          <cell r="E47">
            <v>10.69</v>
          </cell>
          <cell r="F47">
            <v>10.24</v>
          </cell>
          <cell r="G47">
            <v>9.9700000000000006</v>
          </cell>
          <cell r="H47">
            <v>9.43</v>
          </cell>
          <cell r="I47">
            <v>8.75</v>
          </cell>
          <cell r="J47">
            <v>8.7100000000000009</v>
          </cell>
          <cell r="K47">
            <v>8.43</v>
          </cell>
          <cell r="L47">
            <v>7.79</v>
          </cell>
          <cell r="M47">
            <v>7.54</v>
          </cell>
          <cell r="N47">
            <v>8.31</v>
          </cell>
          <cell r="O47">
            <v>7.71</v>
          </cell>
        </row>
        <row r="48">
          <cell r="D48">
            <v>13.18</v>
          </cell>
          <cell r="E48">
            <v>12.87</v>
          </cell>
          <cell r="F48">
            <v>12.58</v>
          </cell>
          <cell r="G48">
            <v>12.5</v>
          </cell>
          <cell r="H48">
            <v>12.46</v>
          </cell>
          <cell r="I48">
            <v>12.32</v>
          </cell>
          <cell r="J48">
            <v>12.36</v>
          </cell>
          <cell r="K48">
            <v>12.22</v>
          </cell>
          <cell r="L48">
            <v>11.96</v>
          </cell>
          <cell r="M48">
            <v>12.28</v>
          </cell>
          <cell r="N48">
            <v>4.24</v>
          </cell>
          <cell r="O48">
            <v>3.18</v>
          </cell>
        </row>
        <row r="49">
          <cell r="D49">
            <v>12.65</v>
          </cell>
          <cell r="E49">
            <v>12.27</v>
          </cell>
          <cell r="F49">
            <v>11.91</v>
          </cell>
          <cell r="G49">
            <v>11.73</v>
          </cell>
          <cell r="H49">
            <v>11.3</v>
          </cell>
          <cell r="I49">
            <v>10.79</v>
          </cell>
          <cell r="J49">
            <v>10.62</v>
          </cell>
          <cell r="K49">
            <v>10.16</v>
          </cell>
          <cell r="L49">
            <v>9.33</v>
          </cell>
          <cell r="M49">
            <v>9.35</v>
          </cell>
          <cell r="N49">
            <v>-0.23</v>
          </cell>
          <cell r="O49">
            <v>-0.77</v>
          </cell>
        </row>
        <row r="50">
          <cell r="D50">
            <v>11.88</v>
          </cell>
          <cell r="E50">
            <v>11.63</v>
          </cell>
          <cell r="F50">
            <v>11.39</v>
          </cell>
          <cell r="G50">
            <v>11.35</v>
          </cell>
          <cell r="H50">
            <v>11.34</v>
          </cell>
          <cell r="I50">
            <v>11.24</v>
          </cell>
          <cell r="J50">
            <v>11.3</v>
          </cell>
          <cell r="K50">
            <v>11.22</v>
          </cell>
          <cell r="L50">
            <v>11.04</v>
          </cell>
          <cell r="M50">
            <v>11.35</v>
          </cell>
          <cell r="N50">
            <v>3.75</v>
          </cell>
          <cell r="O50">
            <v>2.75</v>
          </cell>
        </row>
        <row r="51">
          <cell r="D51">
            <v>12.88</v>
          </cell>
          <cell r="E51">
            <v>12.52</v>
          </cell>
          <cell r="F51">
            <v>12.18</v>
          </cell>
          <cell r="G51">
            <v>12.03</v>
          </cell>
          <cell r="H51">
            <v>11.92</v>
          </cell>
          <cell r="I51">
            <v>11.7</v>
          </cell>
          <cell r="J51">
            <v>11.71</v>
          </cell>
          <cell r="K51">
            <v>11.51</v>
          </cell>
          <cell r="L51">
            <v>11.12</v>
          </cell>
          <cell r="M51">
            <v>11.42</v>
          </cell>
          <cell r="N51">
            <v>3.47</v>
          </cell>
          <cell r="O51">
            <v>2.2799999999999998</v>
          </cell>
        </row>
        <row r="52">
          <cell r="D52">
            <v>13.68</v>
          </cell>
          <cell r="E52">
            <v>13.36</v>
          </cell>
          <cell r="F52">
            <v>13.06</v>
          </cell>
          <cell r="G52">
            <v>12.97</v>
          </cell>
          <cell r="H52">
            <v>12.95</v>
          </cell>
          <cell r="I52">
            <v>12.81</v>
          </cell>
          <cell r="J52">
            <v>12.86</v>
          </cell>
          <cell r="K52">
            <v>12.73</v>
          </cell>
          <cell r="L52">
            <v>12.46</v>
          </cell>
          <cell r="M52">
            <v>12.81</v>
          </cell>
          <cell r="N52">
            <v>4.63</v>
          </cell>
          <cell r="O52">
            <v>3.54</v>
          </cell>
        </row>
        <row r="53">
          <cell r="D53">
            <v>11.41</v>
          </cell>
          <cell r="E53">
            <v>10.95</v>
          </cell>
          <cell r="F53">
            <v>10.49</v>
          </cell>
          <cell r="G53">
            <v>10.199999999999999</v>
          </cell>
          <cell r="H53">
            <v>9.9</v>
          </cell>
          <cell r="I53">
            <v>9.5399999999999991</v>
          </cell>
          <cell r="J53">
            <v>9.5</v>
          </cell>
          <cell r="K53">
            <v>9.19</v>
          </cell>
          <cell r="L53">
            <v>8.57</v>
          </cell>
          <cell r="M53">
            <v>8.81</v>
          </cell>
          <cell r="N53">
            <v>0.62</v>
          </cell>
          <cell r="O53">
            <v>-0.42</v>
          </cell>
        </row>
        <row r="54">
          <cell r="D54">
            <v>13.22</v>
          </cell>
          <cell r="E54">
            <v>12.91</v>
          </cell>
          <cell r="F54">
            <v>12.62</v>
          </cell>
          <cell r="G54">
            <v>12.54</v>
          </cell>
          <cell r="H54">
            <v>12.33</v>
          </cell>
          <cell r="I54">
            <v>12.04</v>
          </cell>
          <cell r="J54">
            <v>11.76</v>
          </cell>
          <cell r="K54">
            <v>11.5</v>
          </cell>
          <cell r="L54">
            <v>11.21</v>
          </cell>
          <cell r="M54">
            <v>11.41</v>
          </cell>
          <cell r="N54">
            <v>3.88</v>
          </cell>
          <cell r="O54">
            <v>3.07</v>
          </cell>
        </row>
        <row r="55">
          <cell r="D55">
            <v>12.5</v>
          </cell>
          <cell r="E55">
            <v>12.2</v>
          </cell>
          <cell r="F55">
            <v>11.91</v>
          </cell>
          <cell r="G55">
            <v>11.82</v>
          </cell>
          <cell r="H55">
            <v>11.79</v>
          </cell>
          <cell r="I55">
            <v>11.66</v>
          </cell>
          <cell r="J55">
            <v>11.7</v>
          </cell>
          <cell r="K55">
            <v>11.59</v>
          </cell>
          <cell r="L55">
            <v>11.35</v>
          </cell>
          <cell r="M55">
            <v>11.68</v>
          </cell>
          <cell r="N55">
            <v>3.91</v>
          </cell>
          <cell r="O55">
            <v>2.95</v>
          </cell>
        </row>
        <row r="56">
          <cell r="D56">
            <v>12.38</v>
          </cell>
          <cell r="E56">
            <v>12.02</v>
          </cell>
          <cell r="F56">
            <v>11.65</v>
          </cell>
          <cell r="G56">
            <v>11.49</v>
          </cell>
          <cell r="H56">
            <v>11.28</v>
          </cell>
          <cell r="I56">
            <v>11</v>
          </cell>
          <cell r="J56">
            <v>10.95</v>
          </cell>
          <cell r="K56">
            <v>10.71</v>
          </cell>
          <cell r="L56">
            <v>10.220000000000001</v>
          </cell>
          <cell r="M56">
            <v>10.48</v>
          </cell>
          <cell r="N56">
            <v>3.2</v>
          </cell>
          <cell r="O56">
            <v>2.4500000000000002</v>
          </cell>
        </row>
        <row r="57">
          <cell r="D57">
            <v>12.87</v>
          </cell>
          <cell r="E57">
            <v>12.55</v>
          </cell>
          <cell r="F57">
            <v>12.25</v>
          </cell>
          <cell r="G57">
            <v>12.15</v>
          </cell>
          <cell r="H57">
            <v>12.12</v>
          </cell>
          <cell r="I57">
            <v>11.99</v>
          </cell>
          <cell r="J57">
            <v>12.04</v>
          </cell>
          <cell r="K57">
            <v>11.92</v>
          </cell>
          <cell r="L57">
            <v>11.67</v>
          </cell>
          <cell r="M57">
            <v>12.01</v>
          </cell>
          <cell r="N57">
            <v>4.0999999999999996</v>
          </cell>
          <cell r="O57">
            <v>3.07</v>
          </cell>
        </row>
        <row r="58">
          <cell r="D58">
            <v>11.23</v>
          </cell>
          <cell r="E58">
            <v>10.88</v>
          </cell>
          <cell r="F58">
            <v>10.53</v>
          </cell>
          <cell r="G58">
            <v>10.37</v>
          </cell>
          <cell r="H58">
            <v>10.130000000000001</v>
          </cell>
          <cell r="I58">
            <v>9.83</v>
          </cell>
          <cell r="J58">
            <v>9.7899999999999991</v>
          </cell>
          <cell r="K58">
            <v>9.5299999999999994</v>
          </cell>
          <cell r="L58">
            <v>9.0299999999999994</v>
          </cell>
          <cell r="M58">
            <v>9.2200000000000006</v>
          </cell>
          <cell r="N58">
            <v>1.6</v>
          </cell>
          <cell r="O58">
            <v>0.69</v>
          </cell>
        </row>
        <row r="59">
          <cell r="D59">
            <v>13.47</v>
          </cell>
          <cell r="E59">
            <v>13.04</v>
          </cell>
          <cell r="F59">
            <v>12.63</v>
          </cell>
          <cell r="G59">
            <v>12.41</v>
          </cell>
          <cell r="H59">
            <v>12.24</v>
          </cell>
          <cell r="I59">
            <v>11.97</v>
          </cell>
          <cell r="J59">
            <v>11.96</v>
          </cell>
          <cell r="K59">
            <v>11.71</v>
          </cell>
          <cell r="L59">
            <v>11.21</v>
          </cell>
          <cell r="M59">
            <v>11.49</v>
          </cell>
          <cell r="N59">
            <v>3.67</v>
          </cell>
          <cell r="O59">
            <v>2.69</v>
          </cell>
        </row>
        <row r="60">
          <cell r="D60">
            <v>11.77</v>
          </cell>
          <cell r="E60">
            <v>11.41</v>
          </cell>
          <cell r="F60">
            <v>11.06</v>
          </cell>
          <cell r="G60">
            <v>10.9</v>
          </cell>
          <cell r="H60">
            <v>10.71</v>
          </cell>
          <cell r="I60">
            <v>10.44</v>
          </cell>
          <cell r="J60">
            <v>10.34</v>
          </cell>
          <cell r="K60">
            <v>10.119999999999999</v>
          </cell>
          <cell r="L60">
            <v>9.67</v>
          </cell>
          <cell r="M60">
            <v>9.9</v>
          </cell>
          <cell r="N60">
            <v>1.75</v>
          </cell>
          <cell r="O60">
            <v>0.67</v>
          </cell>
        </row>
        <row r="61">
          <cell r="D61">
            <v>11.9</v>
          </cell>
          <cell r="E61">
            <v>11.57</v>
          </cell>
          <cell r="F61">
            <v>11.25</v>
          </cell>
          <cell r="G61">
            <v>11.12</v>
          </cell>
          <cell r="H61">
            <v>10.92</v>
          </cell>
          <cell r="I61">
            <v>10.65</v>
          </cell>
          <cell r="J61">
            <v>10.62</v>
          </cell>
          <cell r="K61">
            <v>10.39</v>
          </cell>
          <cell r="L61">
            <v>9.94</v>
          </cell>
          <cell r="M61">
            <v>10.14</v>
          </cell>
          <cell r="N61">
            <v>2.31</v>
          </cell>
          <cell r="O61">
            <v>1.4</v>
          </cell>
        </row>
        <row r="62">
          <cell r="D62">
            <v>13.29</v>
          </cell>
          <cell r="E62">
            <v>13.37</v>
          </cell>
          <cell r="F62">
            <v>13.18</v>
          </cell>
          <cell r="G62">
            <v>13.19</v>
          </cell>
          <cell r="H62">
            <v>13.27</v>
          </cell>
          <cell r="I62">
            <v>13.37</v>
          </cell>
          <cell r="J62">
            <v>12.78</v>
          </cell>
          <cell r="K62">
            <v>12.08</v>
          </cell>
          <cell r="L62">
            <v>11.2</v>
          </cell>
          <cell r="M62">
            <v>10.4</v>
          </cell>
          <cell r="N62">
            <v>2.36</v>
          </cell>
          <cell r="O62">
            <v>2.04</v>
          </cell>
        </row>
        <row r="63">
          <cell r="D63">
            <v>13.29</v>
          </cell>
          <cell r="E63">
            <v>13.33</v>
          </cell>
          <cell r="F63">
            <v>13.1</v>
          </cell>
          <cell r="G63">
            <v>13.06</v>
          </cell>
          <cell r="H63">
            <v>13.12</v>
          </cell>
          <cell r="I63">
            <v>13.21</v>
          </cell>
          <cell r="J63">
            <v>12.62</v>
          </cell>
          <cell r="K63">
            <v>11.92</v>
          </cell>
          <cell r="L63">
            <v>11</v>
          </cell>
          <cell r="M63">
            <v>10.24</v>
          </cell>
          <cell r="N63">
            <v>2.2200000000000002</v>
          </cell>
          <cell r="O63">
            <v>1.88</v>
          </cell>
        </row>
        <row r="64">
          <cell r="D64">
            <v>11.07</v>
          </cell>
          <cell r="E64">
            <v>10.84</v>
          </cell>
          <cell r="F64">
            <v>10.39</v>
          </cell>
          <cell r="G64">
            <v>10.09</v>
          </cell>
          <cell r="H64">
            <v>9.69</v>
          </cell>
          <cell r="I64">
            <v>9.3800000000000008</v>
          </cell>
          <cell r="J64">
            <v>8.65</v>
          </cell>
          <cell r="K64">
            <v>7.66</v>
          </cell>
          <cell r="L64">
            <v>6.15</v>
          </cell>
          <cell r="M64">
            <v>4.82</v>
          </cell>
          <cell r="N64">
            <v>-2.76</v>
          </cell>
          <cell r="O64">
            <v>-3.03</v>
          </cell>
        </row>
        <row r="65">
          <cell r="D65">
            <v>14.82</v>
          </cell>
          <cell r="E65">
            <v>14.93</v>
          </cell>
          <cell r="F65">
            <v>14.76</v>
          </cell>
          <cell r="G65">
            <v>14.82</v>
          </cell>
          <cell r="H65">
            <v>14.45</v>
          </cell>
          <cell r="I65">
            <v>14.12</v>
          </cell>
          <cell r="J65">
            <v>13.24</v>
          </cell>
          <cell r="K65">
            <v>12.16</v>
          </cell>
          <cell r="L65">
            <v>10.64</v>
          </cell>
          <cell r="M65">
            <v>9.41</v>
          </cell>
          <cell r="N65">
            <v>2.36</v>
          </cell>
          <cell r="O65">
            <v>2.64</v>
          </cell>
        </row>
        <row r="66">
          <cell r="D66">
            <v>14.11</v>
          </cell>
          <cell r="E66">
            <v>14.06</v>
          </cell>
          <cell r="F66">
            <v>13.74</v>
          </cell>
          <cell r="G66">
            <v>13.59</v>
          </cell>
          <cell r="H66">
            <v>13.37</v>
          </cell>
          <cell r="I66">
            <v>13.18</v>
          </cell>
          <cell r="J66">
            <v>12.61</v>
          </cell>
          <cell r="K66">
            <v>11.71</v>
          </cell>
          <cell r="L66">
            <v>10.45</v>
          </cell>
          <cell r="M66">
            <v>9.59</v>
          </cell>
          <cell r="N66">
            <v>2.35</v>
          </cell>
          <cell r="O66">
            <v>2.27</v>
          </cell>
        </row>
        <row r="67">
          <cell r="D67">
            <v>11.32</v>
          </cell>
          <cell r="E67">
            <v>11.03</v>
          </cell>
          <cell r="F67">
            <v>10.52</v>
          </cell>
          <cell r="G67">
            <v>10.15</v>
          </cell>
          <cell r="H67">
            <v>9.67</v>
          </cell>
          <cell r="I67">
            <v>9.3000000000000007</v>
          </cell>
          <cell r="J67">
            <v>8.5</v>
          </cell>
          <cell r="K67">
            <v>7.45</v>
          </cell>
          <cell r="L67">
            <v>5.83</v>
          </cell>
          <cell r="M67">
            <v>4.95</v>
          </cell>
          <cell r="N67">
            <v>-2.5499999999999998</v>
          </cell>
          <cell r="O67">
            <v>-2.68</v>
          </cell>
        </row>
        <row r="68">
          <cell r="D68">
            <v>13.43</v>
          </cell>
          <cell r="E68">
            <v>13.65</v>
          </cell>
          <cell r="F68">
            <v>13.6</v>
          </cell>
          <cell r="G68">
            <v>13.76</v>
          </cell>
          <cell r="H68">
            <v>13.87</v>
          </cell>
          <cell r="I68">
            <v>14.01</v>
          </cell>
          <cell r="J68">
            <v>13.39</v>
          </cell>
          <cell r="K68">
            <v>12.72</v>
          </cell>
          <cell r="L68">
            <v>11.93</v>
          </cell>
          <cell r="M68">
            <v>11.02</v>
          </cell>
          <cell r="N68">
            <v>2.98</v>
          </cell>
          <cell r="O68">
            <v>2.7</v>
          </cell>
        </row>
        <row r="69">
          <cell r="D69">
            <v>11.91</v>
          </cell>
          <cell r="E69">
            <v>11.98</v>
          </cell>
          <cell r="F69">
            <v>11.78</v>
          </cell>
          <cell r="G69">
            <v>11.77</v>
          </cell>
          <cell r="H69">
            <v>11.68</v>
          </cell>
          <cell r="I69">
            <v>11.66</v>
          </cell>
          <cell r="J69">
            <v>10.99</v>
          </cell>
          <cell r="K69">
            <v>10.210000000000001</v>
          </cell>
          <cell r="L69">
            <v>9.17</v>
          </cell>
          <cell r="M69">
            <v>8.26</v>
          </cell>
          <cell r="N69">
            <v>0.79</v>
          </cell>
          <cell r="O69">
            <v>0.68</v>
          </cell>
        </row>
        <row r="70">
          <cell r="D70">
            <v>12.86</v>
          </cell>
          <cell r="E70">
            <v>12.91</v>
          </cell>
          <cell r="F70">
            <v>12.68</v>
          </cell>
          <cell r="G70">
            <v>12.66</v>
          </cell>
          <cell r="H70">
            <v>12.46</v>
          </cell>
          <cell r="I70">
            <v>12.32</v>
          </cell>
          <cell r="J70">
            <v>11.58</v>
          </cell>
          <cell r="K70">
            <v>10.69</v>
          </cell>
          <cell r="L70">
            <v>9.4600000000000009</v>
          </cell>
          <cell r="M70">
            <v>8.4600000000000009</v>
          </cell>
          <cell r="N70">
            <v>0.78</v>
          </cell>
          <cell r="O70">
            <v>0.71</v>
          </cell>
        </row>
        <row r="71">
          <cell r="D71">
            <v>13.43</v>
          </cell>
          <cell r="E71">
            <v>13.49</v>
          </cell>
          <cell r="F71">
            <v>13.29</v>
          </cell>
          <cell r="G71">
            <v>13.29</v>
          </cell>
          <cell r="H71">
            <v>13.32</v>
          </cell>
          <cell r="I71">
            <v>13.38</v>
          </cell>
          <cell r="J71">
            <v>12.76</v>
          </cell>
          <cell r="K71">
            <v>12.03</v>
          </cell>
          <cell r="L71">
            <v>11.08</v>
          </cell>
          <cell r="M71">
            <v>10.25</v>
          </cell>
          <cell r="N71">
            <v>2.14</v>
          </cell>
          <cell r="O71">
            <v>1.82</v>
          </cell>
        </row>
        <row r="72">
          <cell r="D72">
            <v>12.25</v>
          </cell>
          <cell r="E72">
            <v>12.3</v>
          </cell>
          <cell r="F72">
            <v>12.1</v>
          </cell>
          <cell r="G72">
            <v>12.08</v>
          </cell>
          <cell r="H72">
            <v>12.16</v>
          </cell>
          <cell r="I72">
            <v>12.29</v>
          </cell>
          <cell r="J72">
            <v>11.72</v>
          </cell>
          <cell r="K72">
            <v>11.06</v>
          </cell>
          <cell r="L72">
            <v>10.220000000000001</v>
          </cell>
          <cell r="M72">
            <v>9.4600000000000009</v>
          </cell>
          <cell r="N72">
            <v>1.84</v>
          </cell>
          <cell r="O72">
            <v>1.65</v>
          </cell>
        </row>
        <row r="73">
          <cell r="D73">
            <v>13.24</v>
          </cell>
          <cell r="E73">
            <v>13.3</v>
          </cell>
          <cell r="F73">
            <v>13.09</v>
          </cell>
          <cell r="G73">
            <v>13.09</v>
          </cell>
          <cell r="H73">
            <v>13.13</v>
          </cell>
          <cell r="I73">
            <v>13.22</v>
          </cell>
          <cell r="J73">
            <v>12.61</v>
          </cell>
          <cell r="K73">
            <v>11.9</v>
          </cell>
          <cell r="L73">
            <v>10.98</v>
          </cell>
          <cell r="M73">
            <v>10.18</v>
          </cell>
          <cell r="N73">
            <v>2.0299999999999998</v>
          </cell>
          <cell r="O73">
            <v>1.68</v>
          </cell>
        </row>
        <row r="74">
          <cell r="D74">
            <v>12.75</v>
          </cell>
          <cell r="E74">
            <v>12.8</v>
          </cell>
          <cell r="F74">
            <v>12.58</v>
          </cell>
          <cell r="G74">
            <v>12.56</v>
          </cell>
          <cell r="H74">
            <v>12.57</v>
          </cell>
          <cell r="I74">
            <v>12.62</v>
          </cell>
          <cell r="J74">
            <v>12</v>
          </cell>
          <cell r="K74">
            <v>11.28</v>
          </cell>
          <cell r="L74">
            <v>10.32</v>
          </cell>
          <cell r="M74">
            <v>9.5</v>
          </cell>
          <cell r="N74">
            <v>1.9</v>
          </cell>
          <cell r="O74">
            <v>1.68</v>
          </cell>
        </row>
        <row r="75">
          <cell r="D75">
            <v>13.26</v>
          </cell>
          <cell r="E75">
            <v>13.37</v>
          </cell>
          <cell r="F75">
            <v>13.22</v>
          </cell>
          <cell r="G75">
            <v>13.27</v>
          </cell>
          <cell r="H75">
            <v>13.26</v>
          </cell>
          <cell r="I75">
            <v>13.3</v>
          </cell>
          <cell r="J75">
            <v>12.64</v>
          </cell>
          <cell r="K75">
            <v>11.88</v>
          </cell>
          <cell r="L75">
            <v>10.91</v>
          </cell>
          <cell r="M75">
            <v>10</v>
          </cell>
          <cell r="N75">
            <v>2.33</v>
          </cell>
          <cell r="O75">
            <v>2.2000000000000002</v>
          </cell>
        </row>
      </sheetData>
      <sheetData sheetId="6"/>
      <sheetData sheetId="7"/>
      <sheetData sheetId="8">
        <row r="4">
          <cell r="J4">
            <v>0.50245897383295324</v>
          </cell>
          <cell r="K4">
            <v>7.5133218603044852E-2</v>
          </cell>
          <cell r="M4">
            <v>0.42240780756400181</v>
          </cell>
        </row>
        <row r="5">
          <cell r="J5">
            <v>0.57211740969959257</v>
          </cell>
          <cell r="K5">
            <v>2.0273380589490349E-2</v>
          </cell>
          <cell r="M5">
            <v>0.40760920971091719</v>
          </cell>
        </row>
        <row r="6">
          <cell r="J6">
            <v>0.494830207198518</v>
          </cell>
          <cell r="K6">
            <v>2.8546034034769793E-2</v>
          </cell>
          <cell r="M6">
            <v>0.4766237587667122</v>
          </cell>
        </row>
        <row r="7">
          <cell r="J7">
            <v>0.50978357416815667</v>
          </cell>
          <cell r="K7">
            <v>2.9544528480742391E-2</v>
          </cell>
          <cell r="M7">
            <v>0.46067189735110098</v>
          </cell>
        </row>
        <row r="8">
          <cell r="J8">
            <v>0.53803480180200658</v>
          </cell>
          <cell r="K8">
            <v>3.1144215566414946E-2</v>
          </cell>
          <cell r="M8">
            <v>0.43082098263157848</v>
          </cell>
        </row>
        <row r="9">
          <cell r="J9">
            <v>0.50079872730508435</v>
          </cell>
          <cell r="K9">
            <v>0.13922148015569796</v>
          </cell>
          <cell r="M9">
            <v>0.35997979253921764</v>
          </cell>
        </row>
        <row r="10">
          <cell r="J10">
            <v>0.6326175941168436</v>
          </cell>
          <cell r="K10">
            <v>0.17866015794982651</v>
          </cell>
          <cell r="M10">
            <v>0.18872224793332998</v>
          </cell>
        </row>
        <row r="11">
          <cell r="J11">
            <v>0.70938989408495268</v>
          </cell>
          <cell r="K11">
            <v>0.15510131146131903</v>
          </cell>
          <cell r="M11">
            <v>0.13550879445372838</v>
          </cell>
        </row>
        <row r="12">
          <cell r="J12">
            <v>0.52395569035614797</v>
          </cell>
          <cell r="K12">
            <v>3.1173963407469488E-2</v>
          </cell>
          <cell r="M12">
            <v>0.44487034623638261</v>
          </cell>
        </row>
        <row r="13">
          <cell r="J13">
            <v>0.88839747746583675</v>
          </cell>
          <cell r="K13">
            <v>3.7250614842873557E-2</v>
          </cell>
          <cell r="M13">
            <v>7.4351907691289715E-2</v>
          </cell>
        </row>
        <row r="14">
          <cell r="J14">
            <v>0.66599251189146147</v>
          </cell>
          <cell r="K14">
            <v>3.839617777919202E-2</v>
          </cell>
          <cell r="M14">
            <v>0.29561131032934657</v>
          </cell>
        </row>
        <row r="15">
          <cell r="J15">
            <v>0.55320547490988248</v>
          </cell>
          <cell r="K15">
            <v>1.3198246662705422E-2</v>
          </cell>
          <cell r="M15">
            <v>0.43359627842741211</v>
          </cell>
        </row>
        <row r="16">
          <cell r="J16">
            <v>0.60395505513109982</v>
          </cell>
          <cell r="K16">
            <v>6.5787578743598816E-3</v>
          </cell>
          <cell r="M16">
            <v>0.38946618699454033</v>
          </cell>
        </row>
        <row r="17">
          <cell r="J17">
            <v>0.76001716889842852</v>
          </cell>
          <cell r="K17">
            <v>0.10079062171960963</v>
          </cell>
          <cell r="M17">
            <v>0.13919220938196189</v>
          </cell>
        </row>
        <row r="18">
          <cell r="J18">
            <v>0.53239183509721133</v>
          </cell>
          <cell r="K18">
            <v>1.0181535405105743E-2</v>
          </cell>
          <cell r="M18">
            <v>0.45742662949768292</v>
          </cell>
        </row>
        <row r="19">
          <cell r="J19">
            <v>0.48907458870153253</v>
          </cell>
          <cell r="K19">
            <v>7.8867919299619144E-2</v>
          </cell>
          <cell r="M19">
            <v>0.4320574919988483</v>
          </cell>
        </row>
        <row r="20">
          <cell r="J20">
            <v>0.70042161616470355</v>
          </cell>
          <cell r="K20">
            <v>0.13947150769304251</v>
          </cell>
          <cell r="M20">
            <v>0.160106876142254</v>
          </cell>
        </row>
        <row r="21">
          <cell r="J21">
            <v>0.28611222585429902</v>
          </cell>
          <cell r="K21">
            <v>7.0658583908537569E-3</v>
          </cell>
          <cell r="M21">
            <v>0.70682191575484732</v>
          </cell>
        </row>
        <row r="22">
          <cell r="J22">
            <v>0.5117911396592516</v>
          </cell>
          <cell r="K22">
            <v>0.24580642199811567</v>
          </cell>
          <cell r="M22">
            <v>0.24240243834263273</v>
          </cell>
        </row>
        <row r="23">
          <cell r="J23">
            <v>0.65218070727001676</v>
          </cell>
          <cell r="K23">
            <v>0.12769809138933302</v>
          </cell>
          <cell r="M23">
            <v>0.22012120134065022</v>
          </cell>
        </row>
        <row r="24">
          <cell r="J24">
            <v>0.58128863513825746</v>
          </cell>
          <cell r="K24">
            <v>0.27269190333806226</v>
          </cell>
          <cell r="M24">
            <v>0.14601946152368017</v>
          </cell>
        </row>
        <row r="25">
          <cell r="J25">
            <v>0.57398355547256164</v>
          </cell>
          <cell r="K25">
            <v>0.28077503965524608</v>
          </cell>
          <cell r="M25">
            <v>0.14524140487219242</v>
          </cell>
        </row>
        <row r="26">
          <cell r="J26">
            <v>0.67136631206042541</v>
          </cell>
          <cell r="K26">
            <v>4.7056805059708627E-2</v>
          </cell>
          <cell r="M26">
            <v>0.28157688287986593</v>
          </cell>
        </row>
        <row r="27">
          <cell r="J27">
            <v>0.52120026581862677</v>
          </cell>
          <cell r="K27">
            <v>0.41909787396221826</v>
          </cell>
          <cell r="M27">
            <v>5.9701860219154863E-2</v>
          </cell>
        </row>
        <row r="28">
          <cell r="J28">
            <v>0.5660332604203745</v>
          </cell>
          <cell r="K28">
            <v>4.6936340959235691E-2</v>
          </cell>
          <cell r="M28">
            <v>0.3870303986203899</v>
          </cell>
        </row>
        <row r="29">
          <cell r="J29">
            <v>0.55746435969527064</v>
          </cell>
          <cell r="K29">
            <v>0.16092157220711387</v>
          </cell>
          <cell r="M29">
            <v>0.28161406809761552</v>
          </cell>
        </row>
        <row r="30">
          <cell r="J30">
            <v>0.33764256293130829</v>
          </cell>
          <cell r="K30">
            <v>0.19329759447203923</v>
          </cell>
          <cell r="M30">
            <v>0.46905984259665251</v>
          </cell>
        </row>
        <row r="31">
          <cell r="J31">
            <v>0.75854841113997418</v>
          </cell>
          <cell r="K31">
            <v>0.12134863190915846</v>
          </cell>
          <cell r="M31">
            <v>0.12010295695086742</v>
          </cell>
        </row>
        <row r="32">
          <cell r="J32">
            <v>0.3711721879792772</v>
          </cell>
          <cell r="K32">
            <v>0.29402935677733577</v>
          </cell>
          <cell r="M32">
            <v>0.33479845524338714</v>
          </cell>
        </row>
        <row r="33">
          <cell r="J33">
            <v>0.68805344263968948</v>
          </cell>
          <cell r="K33">
            <v>0.20657239034193087</v>
          </cell>
          <cell r="M33">
            <v>0.10537416701837969</v>
          </cell>
        </row>
        <row r="34">
          <cell r="J34">
            <v>0.47697422800766504</v>
          </cell>
          <cell r="K34">
            <v>0.35469658012042449</v>
          </cell>
          <cell r="M34">
            <v>0.16832919187191045</v>
          </cell>
        </row>
        <row r="35">
          <cell r="J35">
            <v>0.53292400794610084</v>
          </cell>
          <cell r="K35">
            <v>6.4477810488103152E-2</v>
          </cell>
          <cell r="L35">
            <v>2.5940556298720257E-2</v>
          </cell>
          <cell r="M35">
            <v>0.37665762526707586</v>
          </cell>
        </row>
        <row r="36">
          <cell r="J36">
            <v>0.53122329220758358</v>
          </cell>
          <cell r="K36">
            <v>5.9442608493101588E-2</v>
          </cell>
          <cell r="L36">
            <v>2.7635914324353111E-2</v>
          </cell>
          <cell r="M36">
            <v>0.38169818497496183</v>
          </cell>
        </row>
        <row r="37">
          <cell r="J37">
            <v>0.5928128168797796</v>
          </cell>
          <cell r="K37">
            <v>2.174276459153833E-2</v>
          </cell>
          <cell r="L37">
            <v>2.8226948871806252E-5</v>
          </cell>
          <cell r="M37">
            <v>0.38541619157981033</v>
          </cell>
        </row>
        <row r="38">
          <cell r="J38">
            <v>0.69338999160418135</v>
          </cell>
          <cell r="K38">
            <v>1.9146427948305105E-2</v>
          </cell>
          <cell r="L38">
            <v>0</v>
          </cell>
          <cell r="M38">
            <v>0.28746358044751352</v>
          </cell>
        </row>
        <row r="39">
          <cell r="J39">
            <v>0.5213914206354926</v>
          </cell>
          <cell r="K39">
            <v>1.8985803696313426E-2</v>
          </cell>
          <cell r="L39">
            <v>1.2406491695879541E-5</v>
          </cell>
          <cell r="M39">
            <v>0.45961036917649811</v>
          </cell>
        </row>
        <row r="40">
          <cell r="J40">
            <v>0.50923876835706672</v>
          </cell>
          <cell r="K40">
            <v>1.7719681104133456E-2</v>
          </cell>
          <cell r="L40">
            <v>1.6999084931573795E-2</v>
          </cell>
          <cell r="M40">
            <v>0.456042465607226</v>
          </cell>
        </row>
        <row r="41">
          <cell r="J41">
            <v>0.47130362518420432</v>
          </cell>
          <cell r="K41">
            <v>1.3901012044730697E-2</v>
          </cell>
          <cell r="L41">
            <v>0</v>
          </cell>
          <cell r="M41">
            <v>0.51479536277106497</v>
          </cell>
        </row>
        <row r="42">
          <cell r="J42">
            <v>0.54406308224563293</v>
          </cell>
          <cell r="K42">
            <v>0.14976373516799923</v>
          </cell>
          <cell r="L42">
            <v>3.349912775618627E-2</v>
          </cell>
          <cell r="M42">
            <v>0.27267405483018142</v>
          </cell>
        </row>
        <row r="43">
          <cell r="J43">
            <v>0.52508060660544731</v>
          </cell>
          <cell r="K43">
            <v>4.8045295492185553E-3</v>
          </cell>
          <cell r="L43">
            <v>0</v>
          </cell>
          <cell r="M43">
            <v>0.47011486384533407</v>
          </cell>
        </row>
        <row r="44">
          <cell r="J44">
            <v>0.57317543749590039</v>
          </cell>
          <cell r="K44">
            <v>1.5830870008852419E-2</v>
          </cell>
          <cell r="L44">
            <v>1.9194360188887347E-2</v>
          </cell>
          <cell r="M44">
            <v>0.39179933230635983</v>
          </cell>
        </row>
        <row r="45">
          <cell r="J45">
            <v>0.526587857367812</v>
          </cell>
          <cell r="K45">
            <v>2.7925517664509618E-2</v>
          </cell>
          <cell r="L45">
            <v>2.8340903993451037E-2</v>
          </cell>
          <cell r="M45">
            <v>0.41714572097422731</v>
          </cell>
        </row>
        <row r="46">
          <cell r="J46">
            <v>0.70411921822976176</v>
          </cell>
          <cell r="K46">
            <v>6.7687442076564366E-2</v>
          </cell>
          <cell r="L46">
            <v>0</v>
          </cell>
          <cell r="M46">
            <v>0.22819333969367392</v>
          </cell>
        </row>
        <row r="47">
          <cell r="J47">
            <v>0.58317827967628022</v>
          </cell>
          <cell r="K47">
            <v>1.0428371607881421E-2</v>
          </cell>
          <cell r="L47">
            <v>5.3882389502551606E-4</v>
          </cell>
          <cell r="M47">
            <v>0.40585452482081286</v>
          </cell>
        </row>
        <row r="48">
          <cell r="J48">
            <v>0.47768577096486331</v>
          </cell>
          <cell r="K48">
            <v>2.5454533489318244E-3</v>
          </cell>
          <cell r="L48">
            <v>1.0367604948548917E-3</v>
          </cell>
          <cell r="M48">
            <v>0.51873201519134982</v>
          </cell>
        </row>
        <row r="49">
          <cell r="J49">
            <v>0.44386950999529851</v>
          </cell>
          <cell r="K49">
            <v>2.6820295969854349E-3</v>
          </cell>
          <cell r="L49">
            <v>1.9183505813275916E-3</v>
          </cell>
          <cell r="M49">
            <v>0.55153010982638839</v>
          </cell>
        </row>
        <row r="50">
          <cell r="J50">
            <v>0.49638931927277608</v>
          </cell>
          <cell r="K50">
            <v>3.3403877966188818E-3</v>
          </cell>
          <cell r="L50">
            <v>2.2746572411219534E-2</v>
          </cell>
          <cell r="M50">
            <v>0.47752372051938541</v>
          </cell>
        </row>
        <row r="51">
          <cell r="J51">
            <v>0.52408923858855239</v>
          </cell>
          <cell r="K51">
            <v>5.0941616326115966E-3</v>
          </cell>
          <cell r="L51">
            <v>6.5454654886800953E-2</v>
          </cell>
          <cell r="M51">
            <v>0.40536194489203525</v>
          </cell>
        </row>
        <row r="52">
          <cell r="J52">
            <v>0.64295259604337052</v>
          </cell>
          <cell r="K52">
            <v>6.7023517498353641E-2</v>
          </cell>
          <cell r="L52">
            <v>2.0308869073414594E-2</v>
          </cell>
          <cell r="M52">
            <v>0.2697150173848612</v>
          </cell>
        </row>
        <row r="53">
          <cell r="J53">
            <v>0.67436970391095274</v>
          </cell>
          <cell r="K53">
            <v>5.2319399099829494E-2</v>
          </cell>
          <cell r="L53">
            <v>1.1670110993711052E-2</v>
          </cell>
          <cell r="M53">
            <v>0.26164078599550655</v>
          </cell>
        </row>
        <row r="54">
          <cell r="J54">
            <v>0.70075995811773617</v>
          </cell>
          <cell r="K54">
            <v>2.4445907023914359E-2</v>
          </cell>
          <cell r="L54">
            <v>0</v>
          </cell>
          <cell r="M54">
            <v>0.27479413485834958</v>
          </cell>
        </row>
        <row r="55">
          <cell r="J55">
            <v>0.45075599408427053</v>
          </cell>
          <cell r="L55">
            <v>1.9191337976413459E-3</v>
          </cell>
          <cell r="M55">
            <v>0.54708986850593666</v>
          </cell>
        </row>
        <row r="56">
          <cell r="J56">
            <v>0.55381290595911647</v>
          </cell>
          <cell r="K56">
            <v>1.3511777792009355E-2</v>
          </cell>
          <cell r="L56">
            <v>1.0000829262965855E-2</v>
          </cell>
          <cell r="M56">
            <v>0.42267448698590826</v>
          </cell>
        </row>
        <row r="57">
          <cell r="J57">
            <v>0.26423981125459883</v>
          </cell>
          <cell r="K57">
            <v>7.0089425839660749E-3</v>
          </cell>
          <cell r="L57">
            <v>0</v>
          </cell>
          <cell r="M57">
            <v>0.72875124616143516</v>
          </cell>
        </row>
        <row r="58">
          <cell r="J58">
            <v>0.25752097133644575</v>
          </cell>
          <cell r="K58">
            <v>1.3701249643582712E-2</v>
          </cell>
          <cell r="L58">
            <v>3.6087206434778632E-3</v>
          </cell>
          <cell r="M58">
            <v>0.7251690583764937</v>
          </cell>
        </row>
        <row r="59">
          <cell r="J59">
            <v>0.51875374092101634</v>
          </cell>
          <cell r="K59">
            <v>0.24607897040521576</v>
          </cell>
          <cell r="L59">
            <v>5.1844726082278093E-6</v>
          </cell>
          <cell r="M59">
            <v>0.2351621042011596</v>
          </cell>
        </row>
        <row r="60">
          <cell r="J60">
            <v>0.60451230578042137</v>
          </cell>
          <cell r="K60">
            <v>4.8444808851524921E-3</v>
          </cell>
          <cell r="L60">
            <v>4.6725806013596504E-3</v>
          </cell>
          <cell r="M60">
            <v>0.38597063273306642</v>
          </cell>
        </row>
        <row r="61">
          <cell r="J61">
            <v>0.67721136980800967</v>
          </cell>
          <cell r="K61">
            <v>0.12078350842465782</v>
          </cell>
          <cell r="L61">
            <v>3.7152047539473217E-2</v>
          </cell>
          <cell r="M61">
            <v>0.16485307422785933</v>
          </cell>
        </row>
        <row r="62">
          <cell r="J62">
            <v>0.87788673490741809</v>
          </cell>
          <cell r="K62">
            <v>5.8648361851266213E-2</v>
          </cell>
          <cell r="L62">
            <v>4.8165413900494239E-3</v>
          </cell>
          <cell r="M62">
            <v>5.8648361851266213E-2</v>
          </cell>
        </row>
        <row r="63">
          <cell r="J63">
            <v>0.41162853685362932</v>
          </cell>
          <cell r="K63">
            <v>0.11637398323050478</v>
          </cell>
          <cell r="L63">
            <v>8.8924613201729917E-5</v>
          </cell>
          <cell r="M63">
            <v>0.47190855530266407</v>
          </cell>
        </row>
        <row r="64">
          <cell r="J64">
            <v>0.6816900179347043</v>
          </cell>
          <cell r="K64">
            <v>0.15742508218607237</v>
          </cell>
          <cell r="L64">
            <v>6.812214036241564E-3</v>
          </cell>
          <cell r="M64">
            <v>0.1540726858429817</v>
          </cell>
        </row>
        <row r="65">
          <cell r="J65">
            <v>0.60388867107453803</v>
          </cell>
          <cell r="K65">
            <v>0.1889105345756526</v>
          </cell>
          <cell r="L65">
            <v>1.0196599356478914E-3</v>
          </cell>
          <cell r="M65">
            <v>0.20618113441416147</v>
          </cell>
        </row>
        <row r="66">
          <cell r="J66">
            <v>0.63679559779104711</v>
          </cell>
          <cell r="K66">
            <v>8.3746459559596712E-2</v>
          </cell>
          <cell r="L66">
            <v>1.559009735122965E-3</v>
          </cell>
          <cell r="M66">
            <v>0.27789893291423323</v>
          </cell>
        </row>
        <row r="67">
          <cell r="J67">
            <v>0.65164893193410767</v>
          </cell>
          <cell r="K67">
            <v>9.0806946918099027E-2</v>
          </cell>
          <cell r="L67">
            <v>4.0526698449674915E-2</v>
          </cell>
          <cell r="M67">
            <v>0.21701742269811847</v>
          </cell>
        </row>
        <row r="68">
          <cell r="J68">
            <v>0.56744327841604414</v>
          </cell>
          <cell r="K68">
            <v>0.1739019877293014</v>
          </cell>
          <cell r="L68">
            <v>6.3547288032781658E-3</v>
          </cell>
          <cell r="M68">
            <v>0.2523000050513764</v>
          </cell>
        </row>
        <row r="69">
          <cell r="J69">
            <v>0.74724770228808812</v>
          </cell>
          <cell r="K69">
            <v>2.0335232027406697E-2</v>
          </cell>
          <cell r="L69">
            <v>2.2646668619586714E-2</v>
          </cell>
          <cell r="M69">
            <v>0.2097703970649184</v>
          </cell>
        </row>
        <row r="70">
          <cell r="J70">
            <v>0.54656852580080451</v>
          </cell>
          <cell r="L70">
            <v>0.32242701272570884</v>
          </cell>
          <cell r="M70">
            <v>0.12301356552302616</v>
          </cell>
        </row>
        <row r="71">
          <cell r="J71">
            <v>0.7842927636501188</v>
          </cell>
          <cell r="L71">
            <v>8.8518156077535104E-2</v>
          </cell>
          <cell r="M71">
            <v>0.10681960289000998</v>
          </cell>
        </row>
        <row r="72">
          <cell r="J72">
            <v>0.7044237180886066</v>
          </cell>
          <cell r="L72">
            <v>0.27232603187790105</v>
          </cell>
          <cell r="M72">
            <v>1.5267841269386547E-2</v>
          </cell>
        </row>
        <row r="73">
          <cell r="J73">
            <v>0.32797944047150701</v>
          </cell>
          <cell r="L73">
            <v>0.24257244027284139</v>
          </cell>
          <cell r="M73">
            <v>0.42797774998772709</v>
          </cell>
        </row>
        <row r="74">
          <cell r="J74">
            <v>0.32547122187807803</v>
          </cell>
          <cell r="L74">
            <v>0.37122347623522783</v>
          </cell>
          <cell r="M74">
            <v>0.27782574179684993</v>
          </cell>
        </row>
        <row r="75">
          <cell r="J75">
            <v>0.28300158640584167</v>
          </cell>
          <cell r="L75">
            <v>0.41310354673172983</v>
          </cell>
          <cell r="M75">
            <v>0.29849270755045382</v>
          </cell>
        </row>
        <row r="76">
          <cell r="J76">
            <v>0.60391150808205218</v>
          </cell>
          <cell r="L76">
            <v>6.0115222065348119E-2</v>
          </cell>
          <cell r="M76">
            <v>0.33013057299480308</v>
          </cell>
        </row>
        <row r="77">
          <cell r="J77">
            <v>0.61141085763320824</v>
          </cell>
          <cell r="L77">
            <v>0.19272494795937181</v>
          </cell>
          <cell r="M77">
            <v>0.19137427816916847</v>
          </cell>
        </row>
        <row r="78">
          <cell r="J78">
            <v>0.18219245404110501</v>
          </cell>
          <cell r="L78">
            <v>3.2446165435970238E-2</v>
          </cell>
          <cell r="M78">
            <v>0.74924787138021187</v>
          </cell>
        </row>
        <row r="79">
          <cell r="J79">
            <v>0.35097487648983205</v>
          </cell>
          <cell r="L79">
            <v>2.5731684694678934E-2</v>
          </cell>
          <cell r="M79">
            <v>0.60616218796430088</v>
          </cell>
        </row>
        <row r="80">
          <cell r="J80">
            <v>0.35092937711339545</v>
          </cell>
          <cell r="L80">
            <v>0.16943252453371374</v>
          </cell>
          <cell r="M80">
            <v>0.4739005644492813</v>
          </cell>
        </row>
        <row r="81">
          <cell r="J81">
            <v>0.4083584506029081</v>
          </cell>
          <cell r="L81">
            <v>8.4140289447175873E-2</v>
          </cell>
          <cell r="M81">
            <v>0.50175747540712168</v>
          </cell>
        </row>
        <row r="82">
          <cell r="J82">
            <v>8.8888311307238788E-2</v>
          </cell>
          <cell r="L82">
            <v>4.219620764239871E-2</v>
          </cell>
          <cell r="M82">
            <v>0.86877058179975952</v>
          </cell>
        </row>
        <row r="83">
          <cell r="J83">
            <v>0.36109136295994071</v>
          </cell>
          <cell r="L83">
            <v>6.2836734781014369E-2</v>
          </cell>
          <cell r="M83">
            <v>0.57227380646940007</v>
          </cell>
        </row>
        <row r="84">
          <cell r="J84">
            <v>0.37972619993162959</v>
          </cell>
          <cell r="L84">
            <v>0.1547936795482916</v>
          </cell>
          <cell r="M84">
            <v>0.45147375117326849</v>
          </cell>
        </row>
        <row r="85">
          <cell r="J85">
            <v>0.38293726797607236</v>
          </cell>
          <cell r="L85">
            <v>9.704275871820231E-2</v>
          </cell>
          <cell r="M85">
            <v>0.51294584996616643</v>
          </cell>
        </row>
        <row r="86">
          <cell r="J86">
            <v>0.21723276118076923</v>
          </cell>
          <cell r="K86">
            <v>2.5494637619874399E-2</v>
          </cell>
          <cell r="L86">
            <v>3.1015535447843193E-2</v>
          </cell>
          <cell r="M86">
            <v>0.72625706575151316</v>
          </cell>
        </row>
        <row r="87">
          <cell r="J87">
            <v>0.36381181190620598</v>
          </cell>
          <cell r="L87">
            <v>0.43635711990630688</v>
          </cell>
          <cell r="M87">
            <v>0.19144539324909107</v>
          </cell>
        </row>
        <row r="88">
          <cell r="J88">
            <v>0.30497784521333088</v>
          </cell>
          <cell r="L88">
            <v>0.21243976332978273</v>
          </cell>
          <cell r="M88">
            <v>0.4804158782543772</v>
          </cell>
        </row>
        <row r="89">
          <cell r="J89">
            <v>0.27763486668712184</v>
          </cell>
          <cell r="L89">
            <v>7.2920138151321326E-2</v>
          </cell>
          <cell r="M89">
            <v>0.64790290857309196</v>
          </cell>
        </row>
        <row r="90">
          <cell r="J90">
            <v>0.28014264915962078</v>
          </cell>
          <cell r="L90">
            <v>0.52538611648428268</v>
          </cell>
          <cell r="M90">
            <v>0.18390521725460174</v>
          </cell>
        </row>
        <row r="91">
          <cell r="J91">
            <v>0.26097534885769702</v>
          </cell>
          <cell r="L91">
            <v>5.598553737724557E-2</v>
          </cell>
          <cell r="M91">
            <v>0.68128531691821059</v>
          </cell>
        </row>
        <row r="92">
          <cell r="J92">
            <v>0.33516822991421186</v>
          </cell>
          <cell r="L92">
            <v>9.4452089776495551E-2</v>
          </cell>
          <cell r="M92">
            <v>0.56896384920016774</v>
          </cell>
        </row>
        <row r="93">
          <cell r="J93">
            <v>0.34153580629057317</v>
          </cell>
          <cell r="L93">
            <v>0.15376059008510867</v>
          </cell>
          <cell r="M93">
            <v>0.43700378918422961</v>
          </cell>
        </row>
        <row r="94">
          <cell r="J94">
            <v>0.15782814093685452</v>
          </cell>
          <cell r="L94">
            <v>6.7884539377270806E-2</v>
          </cell>
          <cell r="M94">
            <v>0.75324738741283392</v>
          </cell>
        </row>
        <row r="95">
          <cell r="J95">
            <v>0.40758504783436733</v>
          </cell>
          <cell r="L95">
            <v>0.18199775236105192</v>
          </cell>
          <cell r="M95">
            <v>0.41041719980458075</v>
          </cell>
        </row>
        <row r="96">
          <cell r="J96">
            <v>0.18497952363686473</v>
          </cell>
          <cell r="L96">
            <v>0.14670542652285079</v>
          </cell>
          <cell r="M96">
            <v>0.66805351726092921</v>
          </cell>
        </row>
        <row r="97">
          <cell r="J97">
            <v>0.22393633627760912</v>
          </cell>
          <cell r="K97">
            <v>2.0455891660773589E-3</v>
          </cell>
          <cell r="L97">
            <v>6.4867123193382226E-2</v>
          </cell>
          <cell r="M97">
            <v>0.70915095136293127</v>
          </cell>
        </row>
        <row r="98">
          <cell r="J98">
            <v>4.9266314163059259E-2</v>
          </cell>
          <cell r="L98">
            <v>5.4999950233239378E-2</v>
          </cell>
          <cell r="M98">
            <v>0.89568321097362624</v>
          </cell>
        </row>
        <row r="99">
          <cell r="J99">
            <v>0.5355343320767938</v>
          </cell>
          <cell r="L99">
            <v>0.19229794260577315</v>
          </cell>
          <cell r="M99">
            <v>0.26699825468607058</v>
          </cell>
        </row>
        <row r="100">
          <cell r="J100">
            <v>0.25268151182475596</v>
          </cell>
          <cell r="K100">
            <v>5.9057847898989473E-3</v>
          </cell>
          <cell r="L100">
            <v>6.3313367030867929E-2</v>
          </cell>
          <cell r="M100">
            <v>0.67809933635447717</v>
          </cell>
        </row>
        <row r="101">
          <cell r="J101">
            <v>0.37372896505286601</v>
          </cell>
          <cell r="L101">
            <v>0.37392631542848764</v>
          </cell>
          <cell r="M101">
            <v>0.24708361144246299</v>
          </cell>
        </row>
        <row r="102">
          <cell r="J102">
            <v>7.7371775804833065E-2</v>
          </cell>
          <cell r="L102">
            <v>1.5788881676030247E-2</v>
          </cell>
          <cell r="M102">
            <v>0.90683934251913667</v>
          </cell>
        </row>
        <row r="103">
          <cell r="J103">
            <v>7.4328901792444113E-2</v>
          </cell>
          <cell r="L103">
            <v>3.7588686292573323E-2</v>
          </cell>
          <cell r="M103">
            <v>0.88792424792291647</v>
          </cell>
        </row>
        <row r="104">
          <cell r="J104">
            <v>0.31684244382211513</v>
          </cell>
          <cell r="L104">
            <v>0.44977357093209247</v>
          </cell>
          <cell r="M104">
            <v>0.23338398524579232</v>
          </cell>
        </row>
        <row r="105">
          <cell r="J105">
            <v>0.26129808909612995</v>
          </cell>
          <cell r="L105">
            <v>0.17621648191887762</v>
          </cell>
          <cell r="M105">
            <v>0.55534817850375051</v>
          </cell>
        </row>
        <row r="106">
          <cell r="J106">
            <v>0.32227850327873181</v>
          </cell>
          <cell r="L106">
            <v>0.28735187739208617</v>
          </cell>
          <cell r="M106">
            <v>0.38998063020529794</v>
          </cell>
        </row>
        <row r="107">
          <cell r="J107">
            <v>0.37496632017462422</v>
          </cell>
          <cell r="L107">
            <v>6.1595187095427835E-2</v>
          </cell>
          <cell r="M107">
            <v>0.55903670706605557</v>
          </cell>
        </row>
        <row r="108">
          <cell r="J108">
            <v>0.24493810496790092</v>
          </cell>
          <cell r="L108">
            <v>8.3174534825158616E-2</v>
          </cell>
          <cell r="M108">
            <v>0.67167396071167773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BAE5A-9730-4C7C-B579-11D347611EB4}">
  <dimension ref="B1:J362"/>
  <sheetViews>
    <sheetView tabSelected="1" workbookViewId="0">
      <selection activeCell="C9" sqref="C9"/>
    </sheetView>
  </sheetViews>
  <sheetFormatPr defaultColWidth="8.77734375" defaultRowHeight="15.6"/>
  <cols>
    <col min="1" max="1" width="8.77734375" style="1"/>
    <col min="2" max="2" width="14.77734375" style="1" customWidth="1"/>
    <col min="3" max="3" width="14.21875" style="1" customWidth="1"/>
    <col min="4" max="16384" width="8.77734375" style="1"/>
  </cols>
  <sheetData>
    <row r="1" spans="2:10">
      <c r="B1" s="241"/>
      <c r="C1" s="241"/>
      <c r="D1" s="241" t="s">
        <v>7</v>
      </c>
      <c r="E1" s="241"/>
      <c r="F1" s="241" t="s">
        <v>7</v>
      </c>
      <c r="G1" s="242" t="s">
        <v>172</v>
      </c>
      <c r="H1" s="241">
        <v>2025</v>
      </c>
      <c r="I1" s="241" t="s">
        <v>8</v>
      </c>
      <c r="J1" s="241" t="s">
        <v>9</v>
      </c>
    </row>
    <row r="2" spans="2:10">
      <c r="B2" s="241"/>
      <c r="C2" s="241"/>
      <c r="D2" s="241" t="s">
        <v>10</v>
      </c>
      <c r="E2" s="241" t="s">
        <v>11</v>
      </c>
      <c r="F2" s="241" t="s">
        <v>12</v>
      </c>
      <c r="G2" s="241" t="s">
        <v>13</v>
      </c>
      <c r="H2" s="241" t="s">
        <v>13</v>
      </c>
      <c r="I2" s="241" t="s">
        <v>19</v>
      </c>
      <c r="J2" s="241" t="s">
        <v>20</v>
      </c>
    </row>
    <row r="3" spans="2:10">
      <c r="B3" s="241" t="s">
        <v>23</v>
      </c>
      <c r="C3" s="241" t="s">
        <v>24</v>
      </c>
      <c r="D3" s="241" t="s">
        <v>23</v>
      </c>
      <c r="E3" s="241" t="s">
        <v>25</v>
      </c>
      <c r="F3" s="241" t="s">
        <v>25</v>
      </c>
      <c r="G3" s="241" t="s">
        <v>27</v>
      </c>
      <c r="H3" s="241" t="s">
        <v>27</v>
      </c>
      <c r="I3" s="241">
        <v>2025</v>
      </c>
      <c r="J3" s="241" t="s">
        <v>19</v>
      </c>
    </row>
    <row r="4" spans="2:10">
      <c r="B4" s="1" t="s">
        <v>38</v>
      </c>
      <c r="C4" s="1" t="s">
        <v>39</v>
      </c>
      <c r="D4" s="245">
        <v>0.42240780756400181</v>
      </c>
      <c r="G4" s="243">
        <v>27.161290322580644</v>
      </c>
      <c r="H4" s="243">
        <v>27.900912646675359</v>
      </c>
      <c r="I4" s="244">
        <v>2.7230750649567925E-2</v>
      </c>
      <c r="J4" s="244"/>
    </row>
    <row r="5" spans="2:10">
      <c r="C5" s="1" t="s">
        <v>40</v>
      </c>
      <c r="D5" s="245">
        <v>0.50245897383295324</v>
      </c>
      <c r="G5" s="243">
        <v>113</v>
      </c>
      <c r="H5" s="243">
        <v>98</v>
      </c>
      <c r="I5" s="244">
        <v>-0.13274336283185839</v>
      </c>
      <c r="J5" s="244"/>
    </row>
    <row r="6" spans="2:10">
      <c r="C6" s="1" t="s">
        <v>41</v>
      </c>
      <c r="D6" s="245">
        <v>7.5133218603044852E-2</v>
      </c>
      <c r="E6" s="1">
        <v>300</v>
      </c>
      <c r="F6" s="245">
        <v>0.76</v>
      </c>
      <c r="G6" s="243">
        <v>378</v>
      </c>
      <c r="H6" s="243">
        <v>323</v>
      </c>
      <c r="I6" s="244">
        <v>-0.14550264550264547</v>
      </c>
      <c r="J6" s="244">
        <v>-6.6127694263296552E-2</v>
      </c>
    </row>
    <row r="7" spans="2:10">
      <c r="B7" s="1" t="s">
        <v>42</v>
      </c>
      <c r="C7" s="1" t="s">
        <v>39</v>
      </c>
      <c r="D7" s="245">
        <v>0.40760920971091719</v>
      </c>
      <c r="F7" s="245"/>
      <c r="G7" s="243">
        <v>57.493368700265258</v>
      </c>
      <c r="H7" s="243">
        <v>58.465608465608462</v>
      </c>
      <c r="I7" s="244">
        <v>1.6910467890859815E-2</v>
      </c>
      <c r="J7" s="244"/>
    </row>
    <row r="8" spans="2:10">
      <c r="C8" s="1" t="s">
        <v>40</v>
      </c>
      <c r="D8" s="245">
        <v>0.57211740969959257</v>
      </c>
      <c r="F8" s="245"/>
      <c r="G8" s="243">
        <v>200</v>
      </c>
      <c r="H8" s="243">
        <v>187</v>
      </c>
      <c r="I8" s="244">
        <v>-6.4999999999999947E-2</v>
      </c>
      <c r="J8" s="244"/>
    </row>
    <row r="9" spans="2:10">
      <c r="C9" s="1" t="s">
        <v>41</v>
      </c>
      <c r="D9" s="245">
        <v>2.0273380589490349E-2</v>
      </c>
      <c r="E9" s="1">
        <v>100</v>
      </c>
      <c r="F9" s="245">
        <v>0.77470000000000006</v>
      </c>
      <c r="G9" s="243">
        <v>557</v>
      </c>
      <c r="H9" s="243">
        <v>503</v>
      </c>
      <c r="I9" s="244">
        <v>-9.6947935368043137E-2</v>
      </c>
      <c r="J9" s="244">
        <v>-3.2260231568719926E-2</v>
      </c>
    </row>
    <row r="10" spans="2:10">
      <c r="B10" s="1" t="s">
        <v>44</v>
      </c>
      <c r="C10" s="1" t="s">
        <v>39</v>
      </c>
      <c r="D10" s="245">
        <v>0.4766237587667122</v>
      </c>
      <c r="F10" s="245"/>
      <c r="G10" s="243">
        <v>57.133676092544995</v>
      </c>
      <c r="H10" s="243">
        <v>58.188824662813104</v>
      </c>
      <c r="I10" s="244">
        <v>1.8468067214141515E-2</v>
      </c>
      <c r="J10" s="244"/>
    </row>
    <row r="11" spans="2:10">
      <c r="C11" s="1" t="s">
        <v>40</v>
      </c>
      <c r="D11" s="245">
        <v>0.494830207198518</v>
      </c>
      <c r="F11" s="245"/>
      <c r="G11" s="243">
        <v>172</v>
      </c>
      <c r="H11" s="243">
        <v>157</v>
      </c>
      <c r="I11" s="244">
        <v>-8.7209302325581439E-2</v>
      </c>
      <c r="J11" s="244"/>
    </row>
    <row r="12" spans="2:10">
      <c r="C12" s="1" t="s">
        <v>41</v>
      </c>
      <c r="D12" s="245">
        <v>2.8546034034769793E-2</v>
      </c>
      <c r="E12" s="1">
        <v>100</v>
      </c>
      <c r="F12" s="245">
        <v>0.45469999999999999</v>
      </c>
      <c r="G12" s="243">
        <v>538</v>
      </c>
      <c r="H12" s="243">
        <v>486.51252399999998</v>
      </c>
      <c r="I12" s="244">
        <v>-9.5701628252788162E-2</v>
      </c>
      <c r="J12" s="244">
        <v>-3.7083379463932226E-2</v>
      </c>
    </row>
    <row r="13" spans="2:10">
      <c r="B13" s="1" t="s">
        <v>46</v>
      </c>
      <c r="C13" s="1" t="s">
        <v>39</v>
      </c>
      <c r="D13" s="245">
        <v>0.46067189735110098</v>
      </c>
      <c r="F13" s="245"/>
      <c r="G13" s="243">
        <v>56.521739130434788</v>
      </c>
      <c r="H13" s="243">
        <v>58.45539280958721</v>
      </c>
      <c r="I13" s="244">
        <v>3.4210795861927545E-2</v>
      </c>
      <c r="J13" s="244"/>
    </row>
    <row r="14" spans="2:10">
      <c r="C14" s="1" t="s">
        <v>40</v>
      </c>
      <c r="D14" s="245">
        <v>0.50978357416815667</v>
      </c>
      <c r="F14" s="245"/>
      <c r="G14" s="243">
        <v>223</v>
      </c>
      <c r="H14" s="243">
        <v>219</v>
      </c>
      <c r="I14" s="244">
        <v>-1.7937219730941756E-2</v>
      </c>
      <c r="J14" s="244"/>
    </row>
    <row r="15" spans="2:10">
      <c r="C15" s="1" t="s">
        <v>41</v>
      </c>
      <c r="D15" s="245">
        <v>2.9544528480742391E-2</v>
      </c>
      <c r="E15" s="1">
        <v>100</v>
      </c>
      <c r="F15" s="245">
        <v>0.57999999999999996</v>
      </c>
      <c r="G15" s="243">
        <v>551</v>
      </c>
      <c r="H15" s="243">
        <v>485</v>
      </c>
      <c r="I15" s="244">
        <v>-0.11978221415607981</v>
      </c>
      <c r="J15" s="244">
        <v>3.0769432169056028E-3</v>
      </c>
    </row>
    <row r="16" spans="2:10">
      <c r="B16" s="1" t="s">
        <v>47</v>
      </c>
      <c r="C16" s="1" t="s">
        <v>39</v>
      </c>
      <c r="D16" s="245">
        <v>0.43082098263157848</v>
      </c>
      <c r="F16" s="245"/>
      <c r="G16" s="243">
        <v>30.963773069036225</v>
      </c>
      <c r="H16" s="243">
        <v>31.986301369863014</v>
      </c>
      <c r="I16" s="244">
        <v>3.3023375366657559E-2</v>
      </c>
      <c r="J16" s="244"/>
    </row>
    <row r="17" spans="2:10">
      <c r="C17" s="1" t="s">
        <v>40</v>
      </c>
      <c r="D17" s="245">
        <v>0.53803480180200658</v>
      </c>
      <c r="F17" s="245"/>
      <c r="G17" s="243">
        <v>182</v>
      </c>
      <c r="H17" s="243">
        <v>171</v>
      </c>
      <c r="I17" s="244">
        <v>-6.0439560439560447E-2</v>
      </c>
      <c r="J17" s="244"/>
    </row>
    <row r="18" spans="2:10">
      <c r="C18" s="1" t="s">
        <v>41</v>
      </c>
      <c r="D18" s="245">
        <v>3.1144215566414946E-2</v>
      </c>
      <c r="E18" s="1">
        <v>300</v>
      </c>
      <c r="F18" s="245">
        <v>0.56000000000000005</v>
      </c>
      <c r="G18" s="243">
        <v>397</v>
      </c>
      <c r="H18" s="243">
        <v>337</v>
      </c>
      <c r="I18" s="244">
        <v>-0.1511335012594458</v>
      </c>
      <c r="J18" s="244">
        <v>-2.2998358239355653E-2</v>
      </c>
    </row>
    <row r="19" spans="2:10">
      <c r="B19" s="1" t="s">
        <v>48</v>
      </c>
      <c r="C19" s="1" t="s">
        <v>39</v>
      </c>
      <c r="D19" s="245">
        <v>0.35997979253921764</v>
      </c>
      <c r="F19" s="245"/>
      <c r="G19" s="243">
        <v>32.295192958700063</v>
      </c>
      <c r="H19" s="243">
        <v>33.106267029972749</v>
      </c>
      <c r="I19" s="244">
        <v>2.5114390005655185E-2</v>
      </c>
      <c r="J19" s="244"/>
    </row>
    <row r="20" spans="2:10">
      <c r="C20" s="1" t="s">
        <v>40</v>
      </c>
      <c r="D20" s="245">
        <v>0.50079872730508435</v>
      </c>
      <c r="F20" s="245"/>
      <c r="G20" s="243">
        <v>196</v>
      </c>
      <c r="H20" s="243">
        <v>184</v>
      </c>
      <c r="I20" s="244">
        <v>-6.1224489795918324E-2</v>
      </c>
      <c r="J20" s="244"/>
    </row>
    <row r="21" spans="2:10">
      <c r="C21" s="1" t="s">
        <v>41</v>
      </c>
      <c r="D21" s="245">
        <v>0.13922148015569796</v>
      </c>
      <c r="E21" s="1">
        <v>200</v>
      </c>
      <c r="F21" s="245">
        <v>0.62</v>
      </c>
      <c r="G21" s="243">
        <v>490</v>
      </c>
      <c r="H21" s="243">
        <v>436</v>
      </c>
      <c r="I21" s="244">
        <v>-0.11020408163265305</v>
      </c>
      <c r="J21" s="244">
        <v>-3.6963249029811587E-2</v>
      </c>
    </row>
    <row r="22" spans="2:10">
      <c r="B22" s="1" t="s">
        <v>49</v>
      </c>
      <c r="C22" s="1" t="s">
        <v>39</v>
      </c>
      <c r="D22" s="245">
        <v>0.18872224793332998</v>
      </c>
      <c r="F22" s="245"/>
      <c r="G22" s="243">
        <v>33</v>
      </c>
      <c r="H22" s="243">
        <v>33</v>
      </c>
      <c r="I22" s="244">
        <v>0</v>
      </c>
      <c r="J22" s="244"/>
    </row>
    <row r="23" spans="2:10">
      <c r="C23" s="1" t="s">
        <v>40</v>
      </c>
      <c r="D23" s="245">
        <v>0.6326175941168436</v>
      </c>
      <c r="F23" s="245"/>
      <c r="G23" s="243">
        <v>114</v>
      </c>
      <c r="H23" s="243">
        <v>98</v>
      </c>
      <c r="I23" s="244">
        <v>-0.14035087719298245</v>
      </c>
      <c r="J23" s="244"/>
    </row>
    <row r="24" spans="2:10">
      <c r="C24" s="1" t="s">
        <v>41</v>
      </c>
      <c r="D24" s="245">
        <v>0.17866015794982651</v>
      </c>
      <c r="E24" s="1">
        <v>300</v>
      </c>
      <c r="F24" s="245">
        <v>0.87</v>
      </c>
      <c r="G24" s="243">
        <v>404</v>
      </c>
      <c r="H24" s="243">
        <v>341</v>
      </c>
      <c r="I24" s="244">
        <v>-0.15594059405940597</v>
      </c>
      <c r="J24" s="244">
        <v>-0.11664880542745638</v>
      </c>
    </row>
    <row r="25" spans="2:10">
      <c r="B25" s="1" t="s">
        <v>50</v>
      </c>
      <c r="C25" s="1" t="s">
        <v>39</v>
      </c>
      <c r="D25" s="245">
        <v>0.13550879445372838</v>
      </c>
      <c r="F25" s="245"/>
      <c r="G25" s="243">
        <v>29</v>
      </c>
      <c r="H25" s="243">
        <v>29</v>
      </c>
      <c r="I25" s="244">
        <v>0</v>
      </c>
      <c r="J25" s="244"/>
    </row>
    <row r="26" spans="2:10">
      <c r="C26" s="1" t="s">
        <v>40</v>
      </c>
      <c r="D26" s="245">
        <v>0.70938989408495268</v>
      </c>
      <c r="F26" s="245"/>
      <c r="G26" s="243">
        <v>163</v>
      </c>
      <c r="H26" s="243">
        <v>152</v>
      </c>
      <c r="I26" s="244">
        <v>-6.7484662576687171E-2</v>
      </c>
      <c r="J26" s="244"/>
    </row>
    <row r="27" spans="2:10">
      <c r="C27" s="1" t="s">
        <v>41</v>
      </c>
      <c r="D27" s="245">
        <v>0.15510131146131903</v>
      </c>
      <c r="E27" s="1">
        <v>200</v>
      </c>
      <c r="F27" s="245">
        <v>0.54779999999999995</v>
      </c>
      <c r="G27" s="243">
        <v>470</v>
      </c>
      <c r="H27" s="243">
        <v>417</v>
      </c>
      <c r="I27" s="244">
        <v>-0.11276595744680851</v>
      </c>
      <c r="J27" s="244">
        <v>-6.5363085525826176E-2</v>
      </c>
    </row>
    <row r="30" spans="2:10">
      <c r="B30" s="1" t="s">
        <v>51</v>
      </c>
    </row>
    <row r="33" spans="2:10">
      <c r="B33" s="1" t="s">
        <v>52</v>
      </c>
      <c r="E33" s="244">
        <v>-6.8849656426615377E-2</v>
      </c>
    </row>
    <row r="35" spans="2:10">
      <c r="B35" s="1" t="s">
        <v>56</v>
      </c>
      <c r="C35" s="1" t="s">
        <v>39</v>
      </c>
      <c r="D35" s="245">
        <v>0.44487034623638261</v>
      </c>
      <c r="F35" s="245"/>
      <c r="G35" s="246">
        <v>32.050431320504316</v>
      </c>
      <c r="H35" s="246">
        <v>29.435215946843854</v>
      </c>
      <c r="I35" s="244">
        <v>-8.159688546803967E-2</v>
      </c>
      <c r="J35" s="244"/>
    </row>
    <row r="36" spans="2:10">
      <c r="C36" s="1" t="s">
        <v>40</v>
      </c>
      <c r="D36" s="245">
        <v>0.52395569035614797</v>
      </c>
      <c r="F36" s="245"/>
      <c r="G36" s="246">
        <v>163</v>
      </c>
      <c r="H36" s="246">
        <v>138</v>
      </c>
      <c r="I36" s="244">
        <v>-0.15337423312883436</v>
      </c>
      <c r="J36" s="244"/>
    </row>
    <row r="37" spans="2:10">
      <c r="C37" s="1" t="s">
        <v>41</v>
      </c>
      <c r="D37" s="245">
        <v>3.1173963407469488E-2</v>
      </c>
      <c r="E37" s="1">
        <v>100</v>
      </c>
      <c r="F37" s="245">
        <v>0.51</v>
      </c>
      <c r="G37" s="246">
        <v>472</v>
      </c>
      <c r="H37" s="246">
        <v>439</v>
      </c>
      <c r="I37" s="244">
        <v>-6.9915254237288171E-2</v>
      </c>
      <c r="J37" s="244">
        <v>-0.1188408724690576</v>
      </c>
    </row>
    <row r="38" spans="2:10">
      <c r="B38" s="1" t="s">
        <v>57</v>
      </c>
      <c r="C38" s="1" t="s">
        <v>39</v>
      </c>
      <c r="D38" s="245">
        <v>7.4351907691289715E-2</v>
      </c>
      <c r="F38" s="245"/>
      <c r="G38" s="246">
        <v>27.020648967551622</v>
      </c>
      <c r="H38" s="246">
        <v>24.302325581395348</v>
      </c>
      <c r="I38" s="244">
        <v>-0.10060170610338182</v>
      </c>
      <c r="J38" s="244"/>
    </row>
    <row r="39" spans="2:10">
      <c r="C39" s="1" t="s">
        <v>40</v>
      </c>
      <c r="D39" s="245">
        <v>0.88839747746583675</v>
      </c>
      <c r="F39" s="245"/>
      <c r="G39" s="246">
        <v>47</v>
      </c>
      <c r="H39" s="246">
        <v>29</v>
      </c>
      <c r="I39" s="244">
        <v>-0.38297872340425532</v>
      </c>
      <c r="J39" s="244"/>
    </row>
    <row r="40" spans="2:10">
      <c r="C40" s="1" t="s">
        <v>41</v>
      </c>
      <c r="D40" s="245">
        <v>3.7250614842873557E-2</v>
      </c>
      <c r="E40" s="1">
        <v>200</v>
      </c>
      <c r="F40" s="245">
        <v>0.92</v>
      </c>
      <c r="G40" s="246">
        <v>377</v>
      </c>
      <c r="H40" s="246">
        <v>343</v>
      </c>
      <c r="I40" s="244">
        <v>-9.0185676392572911E-2</v>
      </c>
      <c r="J40" s="244">
        <v>-0.3510767324568555</v>
      </c>
    </row>
    <row r="41" spans="2:10">
      <c r="B41" s="1" t="s">
        <v>58</v>
      </c>
      <c r="C41" s="1" t="s">
        <v>39</v>
      </c>
      <c r="D41" s="245">
        <v>0.29561131032934657</v>
      </c>
      <c r="F41" s="245"/>
      <c r="G41" s="246">
        <v>25.343320848938824</v>
      </c>
      <c r="H41" s="246">
        <v>22.707423580786028</v>
      </c>
      <c r="I41" s="244">
        <v>-0.10400757200937882</v>
      </c>
      <c r="J41" s="244"/>
    </row>
    <row r="42" spans="2:10">
      <c r="C42" s="1" t="s">
        <v>40</v>
      </c>
      <c r="D42" s="245">
        <v>0.66599251189146147</v>
      </c>
      <c r="F42" s="245"/>
      <c r="G42" s="246">
        <v>91</v>
      </c>
      <c r="H42" s="246">
        <v>78</v>
      </c>
      <c r="I42" s="244">
        <v>-0.1428571428571429</v>
      </c>
      <c r="J42" s="244"/>
    </row>
    <row r="43" spans="2:10">
      <c r="C43" s="1" t="s">
        <v>41</v>
      </c>
      <c r="D43" s="245">
        <v>3.839617777919202E-2</v>
      </c>
      <c r="E43" s="1">
        <v>200</v>
      </c>
      <c r="F43" s="245">
        <v>0.63</v>
      </c>
      <c r="G43" s="246">
        <v>404</v>
      </c>
      <c r="H43" s="246">
        <v>373</v>
      </c>
      <c r="I43" s="244">
        <v>-7.673267326732669E-2</v>
      </c>
      <c r="J43" s="244">
        <v>-0.12883384342317722</v>
      </c>
    </row>
    <row r="44" spans="2:10">
      <c r="B44" s="1" t="s">
        <v>59</v>
      </c>
      <c r="C44" s="1" t="s">
        <v>39</v>
      </c>
      <c r="D44" s="245">
        <v>0.43359627842741211</v>
      </c>
      <c r="F44" s="245"/>
      <c r="G44" s="246">
        <v>28.891910265125762</v>
      </c>
      <c r="H44" s="246">
        <v>25.981055480378892</v>
      </c>
      <c r="I44" s="244">
        <v>-0.1007498209026505</v>
      </c>
      <c r="J44" s="244"/>
    </row>
    <row r="45" spans="2:10">
      <c r="C45" s="1" t="s">
        <v>40</v>
      </c>
      <c r="D45" s="245">
        <v>0.55320547490988248</v>
      </c>
      <c r="F45" s="245"/>
      <c r="G45" s="246">
        <v>154</v>
      </c>
      <c r="H45" s="246">
        <v>126</v>
      </c>
      <c r="I45" s="244">
        <v>-0.18181818181818177</v>
      </c>
      <c r="J45" s="244"/>
    </row>
    <row r="46" spans="2:10">
      <c r="C46" s="1" t="s">
        <v>41</v>
      </c>
      <c r="D46" s="245">
        <v>1.3198246662705422E-2</v>
      </c>
      <c r="E46" s="1">
        <v>200</v>
      </c>
      <c r="F46" s="245">
        <v>0.76</v>
      </c>
      <c r="G46" s="246">
        <v>428</v>
      </c>
      <c r="H46" s="246">
        <v>392</v>
      </c>
      <c r="I46" s="244">
        <v>-8.411214953271029E-2</v>
      </c>
      <c r="J46" s="244">
        <v>-0.14537769391245922</v>
      </c>
    </row>
    <row r="47" spans="2:10">
      <c r="B47" s="1" t="s">
        <v>60</v>
      </c>
      <c r="C47" s="1" t="s">
        <v>39</v>
      </c>
      <c r="D47" s="245">
        <v>0.38946618699454033</v>
      </c>
      <c r="F47" s="245"/>
      <c r="G47" s="246">
        <v>48.894668400520153</v>
      </c>
      <c r="H47" s="246">
        <v>46.718648473034435</v>
      </c>
      <c r="I47" s="244">
        <v>-4.4504237346715936E-2</v>
      </c>
      <c r="J47" s="244"/>
    </row>
    <row r="48" spans="2:10">
      <c r="C48" s="1" t="s">
        <v>40</v>
      </c>
      <c r="D48" s="245">
        <v>0.60395505513109982</v>
      </c>
      <c r="F48" s="245"/>
      <c r="G48" s="246">
        <v>117</v>
      </c>
      <c r="H48" s="246">
        <v>99</v>
      </c>
      <c r="I48" s="244">
        <v>-0.15384615384615385</v>
      </c>
      <c r="J48" s="244"/>
    </row>
    <row r="49" spans="2:10">
      <c r="C49" s="1" t="s">
        <v>41</v>
      </c>
      <c r="D49" s="245">
        <v>6.5787578743598816E-3</v>
      </c>
      <c r="E49" s="1">
        <v>100</v>
      </c>
      <c r="F49" s="245">
        <v>0.94</v>
      </c>
      <c r="G49" s="246">
        <v>467</v>
      </c>
      <c r="H49" s="246">
        <v>436</v>
      </c>
      <c r="I49" s="244">
        <v>-6.6381156316916434E-2</v>
      </c>
      <c r="J49" s="244">
        <v>-0.11068576350721601</v>
      </c>
    </row>
    <row r="50" spans="2:10">
      <c r="B50" s="1" t="s">
        <v>61</v>
      </c>
      <c r="C50" s="1" t="s">
        <v>39</v>
      </c>
      <c r="D50" s="245">
        <v>0.13919220938196189</v>
      </c>
      <c r="F50" s="245"/>
      <c r="G50" s="246">
        <v>28.247834776815456</v>
      </c>
      <c r="H50" s="246">
        <v>25.432756324900133</v>
      </c>
      <c r="I50" s="244">
        <v>-9.9656432932191064E-2</v>
      </c>
      <c r="J50" s="244"/>
    </row>
    <row r="51" spans="2:10">
      <c r="C51" s="1" t="s">
        <v>40</v>
      </c>
      <c r="D51" s="245">
        <v>0.76001716889842852</v>
      </c>
      <c r="F51" s="245"/>
      <c r="G51" s="246">
        <v>157</v>
      </c>
      <c r="H51" s="246">
        <v>135</v>
      </c>
      <c r="I51" s="244">
        <v>-0.14012738853503182</v>
      </c>
      <c r="J51" s="244"/>
    </row>
    <row r="52" spans="2:10">
      <c r="C52" s="1" t="s">
        <v>41</v>
      </c>
      <c r="D52" s="245">
        <v>0.10079062171960963</v>
      </c>
      <c r="E52" s="1">
        <v>200</v>
      </c>
      <c r="F52" s="245">
        <v>0.877</v>
      </c>
      <c r="G52" s="246">
        <v>393</v>
      </c>
      <c r="H52" s="246">
        <v>361</v>
      </c>
      <c r="I52" s="244">
        <v>-8.1424936386768398E-2</v>
      </c>
      <c r="J52" s="244">
        <v>-0.12857749016038403</v>
      </c>
    </row>
    <row r="53" spans="2:10">
      <c r="B53" s="1" t="s">
        <v>62</v>
      </c>
      <c r="C53" s="1" t="s">
        <v>39</v>
      </c>
      <c r="D53" s="245">
        <v>0.45742662949768292</v>
      </c>
      <c r="F53" s="245"/>
      <c r="G53" s="246">
        <v>52.586771447282246</v>
      </c>
      <c r="H53" s="246">
        <v>51.130319148936174</v>
      </c>
      <c r="I53" s="244">
        <v>-2.7696172597440283E-2</v>
      </c>
      <c r="J53" s="244"/>
    </row>
    <row r="54" spans="2:10">
      <c r="C54" s="1" t="s">
        <v>40</v>
      </c>
      <c r="D54" s="245">
        <v>0.53239183509721133</v>
      </c>
      <c r="F54" s="245"/>
      <c r="G54" s="246">
        <v>127</v>
      </c>
      <c r="H54" s="246">
        <v>115</v>
      </c>
      <c r="I54" s="244">
        <v>-9.4488188976378007E-2</v>
      </c>
      <c r="J54" s="244"/>
    </row>
    <row r="55" spans="2:10">
      <c r="C55" s="1" t="s">
        <v>41</v>
      </c>
      <c r="D55" s="245">
        <v>1.0181535405105743E-2</v>
      </c>
      <c r="E55" s="1">
        <v>100</v>
      </c>
      <c r="F55" s="245">
        <v>0.87890000000000001</v>
      </c>
      <c r="G55" s="246">
        <v>464</v>
      </c>
      <c r="H55" s="246">
        <v>438</v>
      </c>
      <c r="I55" s="244">
        <v>-5.6034482758620663E-2</v>
      </c>
      <c r="J55" s="244">
        <v>-6.3544224275492861E-2</v>
      </c>
    </row>
    <row r="56" spans="2:10">
      <c r="B56" s="1" t="s">
        <v>63</v>
      </c>
      <c r="C56" s="1" t="s">
        <v>39</v>
      </c>
      <c r="D56" s="245">
        <v>0.4320574919988483</v>
      </c>
      <c r="F56" s="245"/>
      <c r="G56" s="246">
        <v>28.276307295029049</v>
      </c>
      <c r="H56" s="246">
        <v>25.530546623794212</v>
      </c>
      <c r="I56" s="244">
        <v>-9.7104641090017374E-2</v>
      </c>
      <c r="J56" s="244"/>
    </row>
    <row r="57" spans="2:10">
      <c r="C57" s="1" t="s">
        <v>40</v>
      </c>
      <c r="D57" s="245">
        <v>0.48907458870153253</v>
      </c>
      <c r="F57" s="245"/>
      <c r="G57" s="246">
        <v>74</v>
      </c>
      <c r="H57" s="246">
        <v>54</v>
      </c>
      <c r="I57" s="244">
        <v>-0.27027027027027029</v>
      </c>
      <c r="J57" s="244"/>
    </row>
    <row r="58" spans="2:10">
      <c r="C58" s="1" t="s">
        <v>41</v>
      </c>
      <c r="D58" s="245">
        <v>7.8867919299619144E-2</v>
      </c>
      <c r="E58" s="1">
        <v>200</v>
      </c>
      <c r="F58" s="245">
        <v>0.5</v>
      </c>
      <c r="G58" s="246">
        <v>401.74306000000001</v>
      </c>
      <c r="H58" s="246">
        <v>368.55304999999998</v>
      </c>
      <c r="I58" s="244">
        <v>-8.2615017668257962E-2</v>
      </c>
      <c r="J58" s="244">
        <v>-0.18065278350788247</v>
      </c>
    </row>
    <row r="59" spans="2:10">
      <c r="B59" s="1" t="s">
        <v>64</v>
      </c>
      <c r="C59" s="1" t="s">
        <v>39</v>
      </c>
      <c r="D59" s="245">
        <v>0.160106876142254</v>
      </c>
      <c r="F59" s="245"/>
      <c r="G59" s="246">
        <v>29.91618310767247</v>
      </c>
      <c r="H59" s="246">
        <v>27.372498386055518</v>
      </c>
      <c r="I59" s="244">
        <v>-8.5027047483359763E-2</v>
      </c>
      <c r="J59" s="244"/>
    </row>
    <row r="60" spans="2:10">
      <c r="C60" s="1" t="s">
        <v>40</v>
      </c>
      <c r="D60" s="245">
        <v>0.70042161616470355</v>
      </c>
      <c r="F60" s="245"/>
      <c r="G60" s="246">
        <v>101</v>
      </c>
      <c r="H60" s="246">
        <v>84</v>
      </c>
      <c r="I60" s="244">
        <v>-0.16831683168316836</v>
      </c>
      <c r="J60" s="244"/>
    </row>
    <row r="61" spans="2:10">
      <c r="C61" s="1" t="s">
        <v>41</v>
      </c>
      <c r="D61" s="245">
        <v>0.13947150769304251</v>
      </c>
      <c r="E61" s="1">
        <v>200</v>
      </c>
      <c r="F61" s="245">
        <v>0.95</v>
      </c>
      <c r="G61" s="246">
        <v>415</v>
      </c>
      <c r="H61" s="246">
        <v>383</v>
      </c>
      <c r="I61" s="244">
        <v>-7.7108433734939807E-2</v>
      </c>
      <c r="J61" s="244">
        <v>-0.14226059174426814</v>
      </c>
    </row>
    <row r="62" spans="2:10">
      <c r="B62" s="1" t="s">
        <v>67</v>
      </c>
      <c r="C62" s="1" t="s">
        <v>39</v>
      </c>
      <c r="D62" s="245">
        <v>0.70682191575484732</v>
      </c>
      <c r="F62" s="245"/>
      <c r="G62" s="246">
        <v>27.299355594610429</v>
      </c>
      <c r="H62" s="246">
        <v>27.584170112226815</v>
      </c>
      <c r="I62" s="244">
        <v>1.0433012480068005E-2</v>
      </c>
      <c r="J62" s="244"/>
    </row>
    <row r="63" spans="2:10">
      <c r="C63" s="1" t="s">
        <v>40</v>
      </c>
      <c r="D63" s="245">
        <v>0.28611222585429902</v>
      </c>
      <c r="F63" s="245"/>
      <c r="G63" s="246">
        <v>42</v>
      </c>
      <c r="H63" s="246">
        <v>28</v>
      </c>
      <c r="I63" s="244">
        <v>-0.33333333333333337</v>
      </c>
      <c r="J63" s="244"/>
    </row>
    <row r="64" spans="2:10">
      <c r="C64" s="1" t="s">
        <v>41</v>
      </c>
      <c r="D64" s="245">
        <v>7.0658583908537569E-3</v>
      </c>
      <c r="E64" s="1">
        <v>200</v>
      </c>
      <c r="F64" s="245">
        <v>0.64</v>
      </c>
      <c r="G64" s="246">
        <v>429</v>
      </c>
      <c r="H64" s="246">
        <v>387</v>
      </c>
      <c r="I64" s="244">
        <v>-9.7902097902097918E-2</v>
      </c>
      <c r="J64" s="244">
        <v>-8.8688222443120843E-2</v>
      </c>
    </row>
    <row r="65" spans="2:10">
      <c r="B65" s="1" t="s">
        <v>68</v>
      </c>
      <c r="C65" s="1" t="s">
        <v>39</v>
      </c>
      <c r="D65" s="245">
        <v>0.24240243834263273</v>
      </c>
      <c r="F65" s="245"/>
      <c r="G65" s="246">
        <v>10</v>
      </c>
      <c r="H65" s="246">
        <v>10</v>
      </c>
      <c r="I65" s="244">
        <v>0</v>
      </c>
      <c r="J65" s="244"/>
    </row>
    <row r="66" spans="2:10">
      <c r="C66" s="1" t="s">
        <v>40</v>
      </c>
      <c r="D66" s="245">
        <v>0.5117911396592516</v>
      </c>
      <c r="F66" s="245"/>
      <c r="G66" s="246">
        <v>85</v>
      </c>
      <c r="H66" s="246">
        <v>66</v>
      </c>
      <c r="I66" s="244">
        <v>-0.22352941176470587</v>
      </c>
      <c r="J66" s="244"/>
    </row>
    <row r="67" spans="2:10">
      <c r="C67" s="1" t="s">
        <v>41</v>
      </c>
      <c r="D67" s="245">
        <v>0.24580642199811567</v>
      </c>
      <c r="E67" s="1">
        <v>300</v>
      </c>
      <c r="F67" s="245">
        <v>0.36</v>
      </c>
      <c r="G67" s="246">
        <v>305</v>
      </c>
      <c r="H67" s="246">
        <v>246</v>
      </c>
      <c r="I67" s="244">
        <v>-0.19344262295081971</v>
      </c>
      <c r="J67" s="244">
        <v>-0.1619498114038925</v>
      </c>
    </row>
    <row r="68" spans="2:10">
      <c r="B68" s="1" t="s">
        <v>69</v>
      </c>
      <c r="C68" s="1" t="s">
        <v>39</v>
      </c>
      <c r="D68" s="245">
        <v>0.22012120134065022</v>
      </c>
      <c r="F68" s="245"/>
      <c r="G68" s="246">
        <v>28</v>
      </c>
      <c r="H68" s="246">
        <v>28</v>
      </c>
      <c r="I68" s="244">
        <v>0</v>
      </c>
      <c r="J68" s="244"/>
    </row>
    <row r="69" spans="2:10">
      <c r="C69" s="1" t="s">
        <v>40</v>
      </c>
      <c r="D69" s="245">
        <v>0.65218070727001676</v>
      </c>
      <c r="F69" s="245"/>
      <c r="G69" s="246">
        <v>139</v>
      </c>
      <c r="H69" s="246">
        <v>123</v>
      </c>
      <c r="I69" s="244">
        <v>-0.1151079136690647</v>
      </c>
      <c r="J69" s="244"/>
    </row>
    <row r="70" spans="2:10">
      <c r="C70" s="1" t="s">
        <v>41</v>
      </c>
      <c r="D70" s="245">
        <v>0.12769809138933302</v>
      </c>
      <c r="E70" s="1">
        <v>200</v>
      </c>
      <c r="F70" s="245">
        <v>0.57999999999999996</v>
      </c>
      <c r="G70" s="246">
        <v>434</v>
      </c>
      <c r="H70" s="246">
        <v>387</v>
      </c>
      <c r="I70" s="244">
        <v>-0.10829493087557607</v>
      </c>
      <c r="J70" s="244">
        <v>-8.8900216529017473E-2</v>
      </c>
    </row>
    <row r="71" spans="2:10">
      <c r="B71" s="1" t="s">
        <v>70</v>
      </c>
      <c r="C71" s="1" t="s">
        <v>39</v>
      </c>
      <c r="D71" s="245">
        <v>0.14601946152368017</v>
      </c>
      <c r="F71" s="245"/>
      <c r="G71" s="246">
        <v>14.6011396011396</v>
      </c>
      <c r="H71" s="246">
        <v>14.305949008498585</v>
      </c>
      <c r="I71" s="244">
        <v>-2.0216955710633422E-2</v>
      </c>
      <c r="J71" s="244"/>
    </row>
    <row r="72" spans="2:10">
      <c r="C72" s="1" t="s">
        <v>40</v>
      </c>
      <c r="D72" s="245">
        <v>0.58128863513825746</v>
      </c>
      <c r="F72" s="245"/>
      <c r="G72" s="246">
        <v>10</v>
      </c>
      <c r="H72" s="246">
        <v>10</v>
      </c>
      <c r="I72" s="244">
        <v>0</v>
      </c>
      <c r="J72" s="244"/>
    </row>
    <row r="73" spans="2:10">
      <c r="C73" s="1" t="s">
        <v>41</v>
      </c>
      <c r="D73" s="245">
        <v>0.27269190333806226</v>
      </c>
      <c r="E73" s="1">
        <v>500</v>
      </c>
      <c r="F73" s="245">
        <v>0.53</v>
      </c>
      <c r="G73" s="246">
        <v>196</v>
      </c>
      <c r="H73" s="246">
        <v>133</v>
      </c>
      <c r="I73" s="244">
        <v>-0.3214285714285714</v>
      </c>
      <c r="J73" s="244">
        <v>-9.0603037916606219E-2</v>
      </c>
    </row>
    <row r="74" spans="2:10">
      <c r="B74" s="1" t="s">
        <v>71</v>
      </c>
      <c r="C74" s="1" t="s">
        <v>39</v>
      </c>
      <c r="D74" s="245">
        <v>0.14524140487219242</v>
      </c>
      <c r="F74" s="245"/>
      <c r="G74" s="246">
        <v>31</v>
      </c>
      <c r="H74" s="246">
        <v>31</v>
      </c>
      <c r="I74" s="244">
        <v>0</v>
      </c>
      <c r="J74" s="244"/>
    </row>
    <row r="75" spans="2:10">
      <c r="C75" s="1" t="s">
        <v>40</v>
      </c>
      <c r="D75" s="245">
        <v>0.57398355547256164</v>
      </c>
      <c r="F75" s="245"/>
      <c r="G75" s="246">
        <v>129</v>
      </c>
      <c r="H75" s="246">
        <v>111</v>
      </c>
      <c r="I75" s="244">
        <v>-0.13953488372093026</v>
      </c>
      <c r="J75" s="244"/>
    </row>
    <row r="76" spans="2:10">
      <c r="C76" s="1" t="s">
        <v>41</v>
      </c>
      <c r="D76" s="245">
        <v>0.28077503965524608</v>
      </c>
      <c r="E76" s="1">
        <v>300</v>
      </c>
      <c r="F76" s="245">
        <v>0.41649999999999998</v>
      </c>
      <c r="G76" s="246">
        <v>356</v>
      </c>
      <c r="H76" s="246">
        <v>298</v>
      </c>
      <c r="I76" s="244">
        <v>-0.1629213483146067</v>
      </c>
      <c r="J76" s="244">
        <v>-0.12583497670430988</v>
      </c>
    </row>
    <row r="77" spans="2:10">
      <c r="B77" s="1" t="s">
        <v>72</v>
      </c>
      <c r="C77" s="1" t="s">
        <v>39</v>
      </c>
      <c r="D77" s="245">
        <v>0.28157688287986593</v>
      </c>
      <c r="F77" s="245"/>
      <c r="G77" s="246">
        <v>10</v>
      </c>
      <c r="H77" s="246">
        <v>10</v>
      </c>
      <c r="I77" s="244">
        <v>0</v>
      </c>
      <c r="J77" s="244"/>
    </row>
    <row r="78" spans="2:10">
      <c r="C78" s="1" t="s">
        <v>40</v>
      </c>
      <c r="D78" s="245">
        <v>0.67136631206042541</v>
      </c>
      <c r="F78" s="245"/>
      <c r="G78" s="246">
        <v>10</v>
      </c>
      <c r="H78" s="246">
        <v>10</v>
      </c>
      <c r="I78" s="244">
        <v>0</v>
      </c>
      <c r="J78" s="244"/>
    </row>
    <row r="79" spans="2:10">
      <c r="C79" s="1" t="s">
        <v>41</v>
      </c>
      <c r="D79" s="245">
        <v>4.7056805059708627E-2</v>
      </c>
      <c r="E79" s="1">
        <v>100</v>
      </c>
      <c r="F79" s="245">
        <v>0.46</v>
      </c>
      <c r="G79" s="246">
        <v>429</v>
      </c>
      <c r="H79" s="246">
        <v>389</v>
      </c>
      <c r="I79" s="244">
        <v>-9.3240093240093191E-2</v>
      </c>
      <c r="J79" s="244">
        <v>-4.3875808913481215E-3</v>
      </c>
    </row>
    <row r="80" spans="2:10">
      <c r="B80" s="1" t="s">
        <v>73</v>
      </c>
      <c r="C80" s="1" t="s">
        <v>39</v>
      </c>
      <c r="D80" s="245">
        <v>5.9701860219154863E-2</v>
      </c>
      <c r="F80" s="245"/>
      <c r="G80" s="246">
        <v>10</v>
      </c>
      <c r="H80" s="246">
        <v>10</v>
      </c>
      <c r="I80" s="244">
        <v>0</v>
      </c>
      <c r="J80" s="244"/>
    </row>
    <row r="81" spans="2:10">
      <c r="C81" s="1" t="s">
        <v>40</v>
      </c>
      <c r="D81" s="245">
        <v>0.52120026581862677</v>
      </c>
      <c r="F81" s="245"/>
      <c r="G81" s="246">
        <v>33</v>
      </c>
      <c r="H81" s="246">
        <v>16</v>
      </c>
      <c r="I81" s="244">
        <v>-0.51515151515151514</v>
      </c>
      <c r="J81" s="244"/>
    </row>
    <row r="82" spans="2:10">
      <c r="C82" s="1" t="s">
        <v>41</v>
      </c>
      <c r="D82" s="245">
        <v>0.41909787396221826</v>
      </c>
      <c r="E82" s="1">
        <v>500</v>
      </c>
      <c r="F82" s="245">
        <v>0.28000000000000003</v>
      </c>
      <c r="G82" s="246">
        <v>164</v>
      </c>
      <c r="H82" s="246">
        <v>108</v>
      </c>
      <c r="I82" s="244">
        <v>-0.34146341463414631</v>
      </c>
      <c r="J82" s="244">
        <v>-0.41160369774288819</v>
      </c>
    </row>
    <row r="83" spans="2:10">
      <c r="B83" s="1" t="s">
        <v>74</v>
      </c>
      <c r="C83" s="1" t="s">
        <v>39</v>
      </c>
      <c r="D83" s="245">
        <v>0.3870303986203899</v>
      </c>
      <c r="F83" s="245"/>
      <c r="G83" s="246">
        <v>25</v>
      </c>
      <c r="H83" s="246">
        <v>25</v>
      </c>
      <c r="I83" s="244">
        <v>0</v>
      </c>
      <c r="J83" s="244"/>
    </row>
    <row r="84" spans="2:10">
      <c r="C84" s="1" t="s">
        <v>40</v>
      </c>
      <c r="D84" s="245">
        <v>0.5660332604203745</v>
      </c>
      <c r="F84" s="245"/>
      <c r="G84" s="246">
        <v>87</v>
      </c>
      <c r="H84" s="246">
        <v>71</v>
      </c>
      <c r="I84" s="244">
        <v>-0.18390804597701149</v>
      </c>
      <c r="J84" s="244"/>
    </row>
    <row r="85" spans="2:10">
      <c r="C85" s="1" t="s">
        <v>41</v>
      </c>
      <c r="D85" s="245">
        <v>4.6936340959235691E-2</v>
      </c>
      <c r="E85" s="1">
        <v>100</v>
      </c>
      <c r="F85" s="245">
        <v>0.77</v>
      </c>
      <c r="G85" s="246">
        <v>532</v>
      </c>
      <c r="H85" s="246">
        <v>488</v>
      </c>
      <c r="I85" s="244">
        <v>-8.2706766917293284E-2</v>
      </c>
      <c r="J85" s="244">
        <v>-0.10798002389357406</v>
      </c>
    </row>
    <row r="86" spans="2:10">
      <c r="B86" s="1" t="s">
        <v>75</v>
      </c>
      <c r="C86" s="1" t="s">
        <v>39</v>
      </c>
      <c r="D86" s="245">
        <v>0.28161406809761552</v>
      </c>
      <c r="F86" s="245"/>
      <c r="G86" s="246">
        <v>10</v>
      </c>
      <c r="H86" s="246">
        <v>10</v>
      </c>
      <c r="I86" s="244">
        <v>0</v>
      </c>
      <c r="J86" s="244"/>
    </row>
    <row r="87" spans="2:10">
      <c r="C87" s="1" t="s">
        <v>40</v>
      </c>
      <c r="D87" s="245">
        <v>0.55746435969527064</v>
      </c>
      <c r="F87" s="245"/>
      <c r="G87" s="246">
        <v>32</v>
      </c>
      <c r="H87" s="246">
        <v>15</v>
      </c>
      <c r="I87" s="244">
        <v>-0.53125</v>
      </c>
      <c r="J87" s="244"/>
    </row>
    <row r="88" spans="2:10">
      <c r="C88" s="1" t="s">
        <v>41</v>
      </c>
      <c r="D88" s="245">
        <v>0.16092157220711387</v>
      </c>
      <c r="E88" s="1">
        <v>300</v>
      </c>
      <c r="F88" s="245">
        <v>0.43</v>
      </c>
      <c r="G88" s="246">
        <v>290</v>
      </c>
      <c r="H88" s="246">
        <v>237</v>
      </c>
      <c r="I88" s="244">
        <v>-0.1827586206896552</v>
      </c>
      <c r="J88" s="244">
        <v>-0.32556274566389543</v>
      </c>
    </row>
    <row r="89" spans="2:10">
      <c r="B89" s="1" t="s">
        <v>76</v>
      </c>
      <c r="C89" s="1" t="s">
        <v>39</v>
      </c>
      <c r="D89" s="245">
        <v>0.46905984259665251</v>
      </c>
      <c r="F89" s="245"/>
      <c r="G89" s="246">
        <v>13.754152823920265</v>
      </c>
      <c r="H89" s="246">
        <v>13.456464379947228</v>
      </c>
      <c r="I89" s="244">
        <v>-2.1643531796107229E-2</v>
      </c>
      <c r="J89" s="244"/>
    </row>
    <row r="90" spans="2:10">
      <c r="C90" s="1" t="s">
        <v>40</v>
      </c>
      <c r="D90" s="245">
        <v>0.33764256293130829</v>
      </c>
      <c r="F90" s="245"/>
      <c r="G90" s="246">
        <v>59</v>
      </c>
      <c r="H90" s="246">
        <v>46</v>
      </c>
      <c r="I90" s="244">
        <v>-0.22033898305084743</v>
      </c>
      <c r="J90" s="244"/>
    </row>
    <row r="91" spans="2:10">
      <c r="C91" s="1" t="s">
        <v>41</v>
      </c>
      <c r="D91" s="245">
        <v>0.19329759447203923</v>
      </c>
      <c r="E91" s="1">
        <v>400</v>
      </c>
      <c r="F91" s="245">
        <v>0.67930000000000001</v>
      </c>
      <c r="G91" s="246">
        <v>274</v>
      </c>
      <c r="H91" s="246">
        <v>216</v>
      </c>
      <c r="I91" s="244">
        <v>-0.21167883211678828</v>
      </c>
      <c r="J91" s="244">
        <v>-0.12546493961730973</v>
      </c>
    </row>
    <row r="92" spans="2:10">
      <c r="B92" s="1" t="s">
        <v>77</v>
      </c>
      <c r="C92" s="1" t="s">
        <v>39</v>
      </c>
      <c r="D92" s="245">
        <v>0.12010295695086742</v>
      </c>
      <c r="F92" s="245"/>
      <c r="G92" s="246">
        <v>10</v>
      </c>
      <c r="H92" s="246">
        <v>10</v>
      </c>
      <c r="I92" s="244">
        <v>0</v>
      </c>
      <c r="J92" s="244"/>
    </row>
    <row r="93" spans="2:10">
      <c r="C93" s="1" t="s">
        <v>40</v>
      </c>
      <c r="D93" s="245">
        <v>0.75854841113997418</v>
      </c>
      <c r="F93" s="245"/>
      <c r="G93" s="246">
        <v>10</v>
      </c>
      <c r="H93" s="246">
        <v>10</v>
      </c>
      <c r="I93" s="244">
        <v>0</v>
      </c>
      <c r="J93" s="244"/>
    </row>
    <row r="94" spans="2:10">
      <c r="C94" s="1" t="s">
        <v>41</v>
      </c>
      <c r="D94" s="245">
        <v>0.12134863190915846</v>
      </c>
      <c r="E94" s="1">
        <v>500</v>
      </c>
      <c r="F94" s="245">
        <v>0.31</v>
      </c>
      <c r="G94" s="246">
        <v>98</v>
      </c>
      <c r="H94" s="246">
        <v>43</v>
      </c>
      <c r="I94" s="244">
        <v>-0.56122448979591844</v>
      </c>
      <c r="J94" s="244">
        <v>-6.8103824030650156E-2</v>
      </c>
    </row>
    <row r="95" spans="2:10">
      <c r="B95" s="1" t="s">
        <v>78</v>
      </c>
      <c r="C95" s="1" t="s">
        <v>39</v>
      </c>
      <c r="D95" s="245">
        <v>0.33479845524338714</v>
      </c>
      <c r="F95" s="245"/>
      <c r="G95" s="246">
        <v>10</v>
      </c>
      <c r="H95" s="246">
        <v>10</v>
      </c>
      <c r="I95" s="244">
        <v>0</v>
      </c>
      <c r="J95" s="244"/>
    </row>
    <row r="96" spans="2:10">
      <c r="C96" s="1" t="s">
        <v>40</v>
      </c>
      <c r="D96" s="245">
        <v>0.3711721879792772</v>
      </c>
      <c r="F96" s="245"/>
      <c r="G96" s="246">
        <v>25</v>
      </c>
      <c r="H96" s="246">
        <v>14</v>
      </c>
      <c r="I96" s="244">
        <v>-0.43999999999999995</v>
      </c>
      <c r="J96" s="244"/>
    </row>
    <row r="97" spans="2:10">
      <c r="C97" s="1" t="s">
        <v>41</v>
      </c>
      <c r="D97" s="245">
        <v>0.29402935677733577</v>
      </c>
      <c r="E97" s="1">
        <v>400</v>
      </c>
      <c r="F97" s="245">
        <v>0.55579999999999996</v>
      </c>
      <c r="G97" s="246">
        <v>235</v>
      </c>
      <c r="H97" s="246">
        <v>179</v>
      </c>
      <c r="I97" s="244">
        <v>-0.23829787234042554</v>
      </c>
      <c r="J97" s="244">
        <v>-0.23338233283654491</v>
      </c>
    </row>
    <row r="98" spans="2:10">
      <c r="B98" s="1" t="s">
        <v>79</v>
      </c>
      <c r="C98" s="1" t="s">
        <v>39</v>
      </c>
      <c r="D98" s="245">
        <v>0.10537416701837969</v>
      </c>
      <c r="F98" s="245"/>
      <c r="G98" s="246">
        <v>10</v>
      </c>
      <c r="H98" s="246">
        <v>10</v>
      </c>
      <c r="I98" s="244">
        <v>0</v>
      </c>
      <c r="J98" s="244"/>
    </row>
    <row r="99" spans="2:10">
      <c r="C99" s="1" t="s">
        <v>40</v>
      </c>
      <c r="D99" s="245">
        <v>0.68805344263968948</v>
      </c>
      <c r="F99" s="245"/>
      <c r="G99" s="246">
        <v>16</v>
      </c>
      <c r="H99" s="246">
        <v>10</v>
      </c>
      <c r="I99" s="244">
        <v>-0.375</v>
      </c>
      <c r="J99" s="244"/>
    </row>
    <row r="100" spans="2:10">
      <c r="C100" s="1" t="s">
        <v>41</v>
      </c>
      <c r="D100" s="245">
        <v>0.20657239034193087</v>
      </c>
      <c r="E100" s="1">
        <v>400</v>
      </c>
      <c r="F100" s="245">
        <v>0.34</v>
      </c>
      <c r="G100" s="246">
        <v>264</v>
      </c>
      <c r="H100" s="246">
        <v>213</v>
      </c>
      <c r="I100" s="244">
        <v>-0.19318181818181823</v>
      </c>
      <c r="J100" s="244">
        <v>-0.29792607094230206</v>
      </c>
    </row>
    <row r="101" spans="2:10">
      <c r="B101" s="1" t="s">
        <v>80</v>
      </c>
      <c r="C101" s="1" t="s">
        <v>39</v>
      </c>
      <c r="D101" s="245">
        <v>0.16832919187191045</v>
      </c>
      <c r="F101" s="245"/>
      <c r="G101" s="246">
        <v>10</v>
      </c>
      <c r="H101" s="246">
        <v>10</v>
      </c>
      <c r="I101" s="244">
        <v>0</v>
      </c>
      <c r="J101" s="244"/>
    </row>
    <row r="102" spans="2:10">
      <c r="C102" s="1" t="s">
        <v>40</v>
      </c>
      <c r="D102" s="245">
        <v>0.47697422800766504</v>
      </c>
      <c r="F102" s="245"/>
      <c r="G102" s="246">
        <v>10</v>
      </c>
      <c r="H102" s="246">
        <v>10</v>
      </c>
      <c r="I102" s="244">
        <v>0</v>
      </c>
      <c r="J102" s="244"/>
    </row>
    <row r="103" spans="2:10">
      <c r="C103" s="1" t="s">
        <v>41</v>
      </c>
      <c r="D103" s="245">
        <v>0.35469658012042449</v>
      </c>
      <c r="E103" s="1">
        <v>500</v>
      </c>
      <c r="F103" s="245">
        <v>0.38</v>
      </c>
      <c r="G103" s="246">
        <v>124</v>
      </c>
      <c r="H103" s="246">
        <v>69</v>
      </c>
      <c r="I103" s="244">
        <v>-0.44354838709677424</v>
      </c>
      <c r="J103" s="244">
        <v>-0.15732509602115605</v>
      </c>
    </row>
    <row r="104" spans="2:10">
      <c r="B104" s="1" t="s">
        <v>84</v>
      </c>
      <c r="C104" s="1" t="s">
        <v>39</v>
      </c>
      <c r="D104" s="245">
        <v>0.37665762526707586</v>
      </c>
      <c r="F104" s="245"/>
      <c r="G104" s="246">
        <v>117.39986868023638</v>
      </c>
      <c r="H104" s="246">
        <v>122.0976253298153</v>
      </c>
      <c r="I104" s="244">
        <v>4.0015007703068761E-2</v>
      </c>
      <c r="J104" s="244"/>
    </row>
    <row r="105" spans="2:10">
      <c r="C105" s="1" t="s">
        <v>85</v>
      </c>
      <c r="D105" s="245">
        <v>2.5940556298720257E-2</v>
      </c>
      <c r="F105" s="245"/>
      <c r="G105" s="246">
        <v>155.41694024950758</v>
      </c>
      <c r="H105" s="246">
        <v>167.87598944591028</v>
      </c>
      <c r="I105" s="244">
        <v>8.0165322881796897E-2</v>
      </c>
      <c r="J105" s="244"/>
    </row>
    <row r="106" spans="2:10">
      <c r="C106" s="1" t="s">
        <v>40</v>
      </c>
      <c r="D106" s="245">
        <v>0.53292400794610084</v>
      </c>
      <c r="F106" s="245"/>
      <c r="G106" s="246">
        <v>446</v>
      </c>
      <c r="H106" s="246">
        <v>398</v>
      </c>
      <c r="I106" s="244">
        <v>-0.1076233183856502</v>
      </c>
      <c r="J106" s="244"/>
    </row>
    <row r="107" spans="2:10">
      <c r="C107" s="1" t="s">
        <v>41</v>
      </c>
      <c r="D107" s="245">
        <v>6.4477810488103152E-2</v>
      </c>
      <c r="E107" s="1">
        <v>100</v>
      </c>
      <c r="F107" s="245">
        <v>1</v>
      </c>
      <c r="G107" s="246">
        <v>537</v>
      </c>
      <c r="H107" s="246">
        <v>393</v>
      </c>
      <c r="I107" s="244">
        <v>-0.26815642458100564</v>
      </c>
      <c r="J107" s="244">
        <v>-5.749369845993943E-2</v>
      </c>
    </row>
    <row r="108" spans="2:10">
      <c r="B108" s="1" t="s">
        <v>86</v>
      </c>
      <c r="C108" s="1" t="s">
        <v>39</v>
      </c>
      <c r="D108" s="245">
        <v>0.38169818497496183</v>
      </c>
      <c r="F108" s="245"/>
      <c r="G108" s="246">
        <v>108.64040660736975</v>
      </c>
      <c r="H108" s="246">
        <v>113.09904153354633</v>
      </c>
      <c r="I108" s="244">
        <v>4.1040300431590238E-2</v>
      </c>
      <c r="J108" s="244"/>
    </row>
    <row r="109" spans="2:10">
      <c r="C109" s="1" t="s">
        <v>85</v>
      </c>
      <c r="D109" s="245">
        <v>2.7635914324353111E-2</v>
      </c>
      <c r="F109" s="245"/>
      <c r="G109" s="246">
        <v>118.74205844980941</v>
      </c>
      <c r="H109" s="246">
        <v>129.073482428115</v>
      </c>
      <c r="I109" s="244">
        <v>8.7007283798036461E-2</v>
      </c>
      <c r="J109" s="244"/>
    </row>
    <row r="110" spans="2:10">
      <c r="C110" s="1" t="s">
        <v>40</v>
      </c>
      <c r="D110" s="245">
        <v>0.53122329220758358</v>
      </c>
      <c r="F110" s="245"/>
      <c r="G110" s="246">
        <v>345</v>
      </c>
      <c r="H110" s="246">
        <v>308</v>
      </c>
      <c r="I110" s="244">
        <v>-0.10724637681159421</v>
      </c>
      <c r="J110" s="244"/>
    </row>
    <row r="111" spans="2:10">
      <c r="C111" s="1" t="s">
        <v>41</v>
      </c>
      <c r="D111" s="245">
        <v>5.9442608493101588E-2</v>
      </c>
      <c r="E111" s="1">
        <v>100</v>
      </c>
      <c r="F111" s="245">
        <v>0.98029999999999995</v>
      </c>
      <c r="G111" s="246">
        <v>494</v>
      </c>
      <c r="H111" s="246">
        <v>355</v>
      </c>
      <c r="I111" s="244">
        <v>-0.28137651821862353</v>
      </c>
      <c r="J111" s="244">
        <v>-5.5627993552609487E-2</v>
      </c>
    </row>
    <row r="112" spans="2:10">
      <c r="B112" s="1" t="s">
        <v>87</v>
      </c>
      <c r="C112" s="1" t="s">
        <v>39</v>
      </c>
      <c r="D112" s="245">
        <v>0.38541619157981033</v>
      </c>
      <c r="F112" s="245"/>
      <c r="G112" s="246">
        <v>71.493506493506487</v>
      </c>
      <c r="H112" s="246">
        <v>75.196335078534034</v>
      </c>
      <c r="I112" s="244">
        <v>5.1792516084854023E-2</v>
      </c>
      <c r="J112" s="244"/>
    </row>
    <row r="113" spans="2:10">
      <c r="C113" s="1" t="s">
        <v>85</v>
      </c>
      <c r="D113" s="245">
        <v>2.8226948871806252E-5</v>
      </c>
      <c r="F113" s="245"/>
      <c r="G113" s="246">
        <v>71.493506493506487</v>
      </c>
      <c r="H113" s="246">
        <v>75.196335078534034</v>
      </c>
      <c r="I113" s="244">
        <v>5.1792516084854023E-2</v>
      </c>
      <c r="J113" s="244"/>
    </row>
    <row r="114" spans="2:10">
      <c r="C114" s="1" t="s">
        <v>40</v>
      </c>
      <c r="D114" s="245">
        <v>0.5928128168797796</v>
      </c>
      <c r="F114" s="245"/>
      <c r="G114" s="246">
        <v>411</v>
      </c>
      <c r="H114" s="246">
        <v>363</v>
      </c>
      <c r="I114" s="244">
        <v>-0.11678832116788318</v>
      </c>
      <c r="J114" s="244"/>
    </row>
    <row r="115" spans="2:10">
      <c r="C115" s="1" t="s">
        <v>41</v>
      </c>
      <c r="D115" s="245">
        <v>2.174276459153833E-2</v>
      </c>
      <c r="E115" s="1">
        <v>100</v>
      </c>
      <c r="F115" s="245">
        <v>1</v>
      </c>
      <c r="G115" s="246">
        <v>554</v>
      </c>
      <c r="H115" s="246">
        <v>414</v>
      </c>
      <c r="I115" s="244">
        <v>-0.25270758122743686</v>
      </c>
      <c r="J115" s="244">
        <v>-5.4765038852854449E-2</v>
      </c>
    </row>
    <row r="116" spans="2:10">
      <c r="B116" s="1" t="s">
        <v>88</v>
      </c>
      <c r="C116" s="1" t="s">
        <v>39</v>
      </c>
      <c r="D116" s="245">
        <v>0.28746358044751352</v>
      </c>
      <c r="F116" s="245"/>
      <c r="G116" s="246">
        <v>71.329113924050631</v>
      </c>
      <c r="H116" s="246">
        <v>74.603174603174608</v>
      </c>
      <c r="I116" s="244">
        <v>4.5900761961099157E-2</v>
      </c>
      <c r="J116" s="244"/>
    </row>
    <row r="117" spans="2:10">
      <c r="C117" s="1" t="s">
        <v>85</v>
      </c>
      <c r="D117" s="245">
        <v>0</v>
      </c>
      <c r="F117" s="245"/>
      <c r="G117" s="246">
        <v>71.329113924050631</v>
      </c>
      <c r="H117" s="246">
        <v>74.603174603174608</v>
      </c>
      <c r="I117" s="244">
        <v>4.5900761961099157E-2</v>
      </c>
      <c r="J117" s="244"/>
    </row>
    <row r="118" spans="2:10">
      <c r="C118" s="1" t="s">
        <v>40</v>
      </c>
      <c r="D118" s="245">
        <v>0.69338999160418135</v>
      </c>
      <c r="F118" s="245"/>
      <c r="G118" s="246">
        <v>299</v>
      </c>
      <c r="H118" s="246">
        <v>260</v>
      </c>
      <c r="I118" s="244">
        <v>-0.13043478260869568</v>
      </c>
      <c r="J118" s="244"/>
    </row>
    <row r="119" spans="2:10">
      <c r="C119" s="1" t="s">
        <v>41</v>
      </c>
      <c r="D119" s="245">
        <v>1.9146427948305105E-2</v>
      </c>
      <c r="E119" s="1">
        <v>100</v>
      </c>
      <c r="F119" s="245">
        <v>1</v>
      </c>
      <c r="G119" s="246">
        <v>581</v>
      </c>
      <c r="H119" s="246">
        <v>444</v>
      </c>
      <c r="I119" s="244">
        <v>-0.23580034423407914</v>
      </c>
      <c r="J119" s="244">
        <v>-8.1762109740393454E-2</v>
      </c>
    </row>
    <row r="120" spans="2:10">
      <c r="B120" s="1" t="s">
        <v>89</v>
      </c>
      <c r="C120" s="1" t="s">
        <v>39</v>
      </c>
      <c r="D120" s="245">
        <v>0.45961036917649811</v>
      </c>
      <c r="F120" s="245"/>
      <c r="G120" s="246">
        <v>64.00515132002576</v>
      </c>
      <c r="H120" s="246">
        <v>67.656552614590055</v>
      </c>
      <c r="I120" s="244">
        <v>5.7048553425134374E-2</v>
      </c>
      <c r="J120" s="244"/>
    </row>
    <row r="121" spans="2:10">
      <c r="C121" s="1" t="s">
        <v>85</v>
      </c>
      <c r="D121" s="245">
        <v>1.2406491695879541E-5</v>
      </c>
      <c r="F121" s="245"/>
      <c r="G121" s="246">
        <v>64.00515132002576</v>
      </c>
      <c r="H121" s="246">
        <v>67.656552614590055</v>
      </c>
      <c r="I121" s="244">
        <v>5.7048553425134374E-2</v>
      </c>
      <c r="J121" s="244"/>
    </row>
    <row r="122" spans="2:10">
      <c r="C122" s="1" t="s">
        <v>40</v>
      </c>
      <c r="D122" s="245">
        <v>0.5213914206354926</v>
      </c>
      <c r="F122" s="245"/>
      <c r="G122" s="246">
        <v>237</v>
      </c>
      <c r="H122" s="246">
        <v>202</v>
      </c>
      <c r="I122" s="244">
        <v>-0.14767932489451474</v>
      </c>
      <c r="J122" s="244"/>
    </row>
    <row r="123" spans="2:10">
      <c r="C123" s="1" t="s">
        <v>41</v>
      </c>
      <c r="D123" s="245">
        <v>1.8985803696313426E-2</v>
      </c>
      <c r="E123" s="1">
        <v>100</v>
      </c>
      <c r="F123" s="245">
        <v>1</v>
      </c>
      <c r="G123" s="246">
        <v>598</v>
      </c>
      <c r="H123" s="246">
        <v>460</v>
      </c>
      <c r="I123" s="244">
        <v>-0.23076923076923073</v>
      </c>
      <c r="J123" s="244">
        <v>-5.515925784665987E-2</v>
      </c>
    </row>
    <row r="124" spans="2:10">
      <c r="B124" s="1" t="s">
        <v>90</v>
      </c>
      <c r="C124" s="1" t="s">
        <v>39</v>
      </c>
      <c r="D124" s="245">
        <v>0.456042465607226</v>
      </c>
      <c r="F124" s="245"/>
      <c r="G124" s="246">
        <v>113.15453384418902</v>
      </c>
      <c r="H124" s="246">
        <v>118.64951768488746</v>
      </c>
      <c r="I124" s="244">
        <v>4.8561764641838367E-2</v>
      </c>
      <c r="J124" s="244"/>
    </row>
    <row r="125" spans="2:10">
      <c r="C125" s="1" t="s">
        <v>85</v>
      </c>
      <c r="D125" s="245">
        <v>1.6999084931573795E-2</v>
      </c>
      <c r="F125" s="245"/>
      <c r="G125" s="246">
        <v>121.45593869731802</v>
      </c>
      <c r="H125" s="246">
        <v>133.18327974276528</v>
      </c>
      <c r="I125" s="244">
        <v>9.6556341099739207E-2</v>
      </c>
      <c r="J125" s="244"/>
    </row>
    <row r="126" spans="2:10">
      <c r="C126" s="1" t="s">
        <v>40</v>
      </c>
      <c r="D126" s="245">
        <v>0.50923876835706672</v>
      </c>
      <c r="F126" s="245"/>
      <c r="G126" s="246">
        <v>298</v>
      </c>
      <c r="H126" s="246">
        <v>256</v>
      </c>
      <c r="I126" s="244">
        <v>-0.14093959731543626</v>
      </c>
      <c r="J126" s="244"/>
    </row>
    <row r="127" spans="2:10">
      <c r="C127" s="1" t="s">
        <v>41</v>
      </c>
      <c r="D127" s="245">
        <v>1.7719681104133456E-2</v>
      </c>
      <c r="E127" s="1">
        <v>100</v>
      </c>
      <c r="F127" s="245">
        <v>0.89</v>
      </c>
      <c r="G127" s="246">
        <v>580</v>
      </c>
      <c r="H127" s="246">
        <v>444</v>
      </c>
      <c r="I127" s="244">
        <v>-0.23448275862068968</v>
      </c>
      <c r="J127" s="244">
        <v>-5.2139270332291585E-2</v>
      </c>
    </row>
    <row r="128" spans="2:10">
      <c r="B128" s="1" t="s">
        <v>91</v>
      </c>
      <c r="C128" s="1" t="s">
        <v>39</v>
      </c>
      <c r="D128" s="245">
        <v>0.51479536277106497</v>
      </c>
      <c r="F128" s="245"/>
      <c r="G128" s="246">
        <v>74.164524421593825</v>
      </c>
      <c r="H128" s="246">
        <v>77.115384615384613</v>
      </c>
      <c r="I128" s="244">
        <v>3.9788028262898401E-2</v>
      </c>
      <c r="J128" s="244"/>
    </row>
    <row r="129" spans="2:10">
      <c r="C129" s="1" t="s">
        <v>85</v>
      </c>
      <c r="D129" s="245">
        <v>0</v>
      </c>
      <c r="F129" s="245"/>
      <c r="G129" s="246">
        <v>74.164524421593825</v>
      </c>
      <c r="H129" s="246">
        <v>77.115384615384613</v>
      </c>
      <c r="I129" s="244">
        <v>3.9788028262898401E-2</v>
      </c>
      <c r="J129" s="244"/>
    </row>
    <row r="130" spans="2:10">
      <c r="C130" s="1" t="s">
        <v>40</v>
      </c>
      <c r="D130" s="245">
        <v>0.47130362518420432</v>
      </c>
      <c r="F130" s="245"/>
      <c r="G130" s="246">
        <v>195</v>
      </c>
      <c r="H130" s="246">
        <v>158</v>
      </c>
      <c r="I130" s="244">
        <v>-0.18974358974358974</v>
      </c>
      <c r="J130" s="244"/>
    </row>
    <row r="131" spans="2:10">
      <c r="C131" s="1" t="s">
        <v>41</v>
      </c>
      <c r="D131" s="245">
        <v>1.3901012044730697E-2</v>
      </c>
      <c r="E131" s="1">
        <v>100</v>
      </c>
      <c r="F131" s="245">
        <v>1</v>
      </c>
      <c r="G131" s="246">
        <v>569</v>
      </c>
      <c r="H131" s="246">
        <v>426</v>
      </c>
      <c r="I131" s="244">
        <v>-0.25131810193321613</v>
      </c>
      <c r="J131" s="244">
        <v>-7.243772522010658E-2</v>
      </c>
    </row>
    <row r="132" spans="2:10">
      <c r="B132" s="1" t="s">
        <v>93</v>
      </c>
      <c r="C132" s="1" t="s">
        <v>39</v>
      </c>
      <c r="D132" s="245">
        <v>0.27267405483018142</v>
      </c>
      <c r="F132" s="245"/>
      <c r="G132" s="246">
        <v>115.34493874919409</v>
      </c>
      <c r="H132" s="246">
        <v>120.3378817413905</v>
      </c>
      <c r="I132" s="244">
        <v>4.3287057467281453E-2</v>
      </c>
      <c r="J132" s="244"/>
    </row>
    <row r="133" spans="2:10">
      <c r="C133" s="1" t="s">
        <v>85</v>
      </c>
      <c r="D133" s="245">
        <v>3.349912775618627E-2</v>
      </c>
      <c r="F133" s="245"/>
      <c r="G133" s="246">
        <v>115.34493874919409</v>
      </c>
      <c r="H133" s="246">
        <v>125.73099415204679</v>
      </c>
      <c r="I133" s="244">
        <v>9.0043442872132617E-2</v>
      </c>
      <c r="J133" s="244"/>
    </row>
    <row r="134" spans="2:10">
      <c r="C134" s="1" t="s">
        <v>40</v>
      </c>
      <c r="D134" s="245">
        <v>0.54406308224563293</v>
      </c>
      <c r="F134" s="245"/>
      <c r="G134" s="246">
        <v>463</v>
      </c>
      <c r="H134" s="246">
        <v>423</v>
      </c>
      <c r="I134" s="244">
        <v>-8.639308855291572E-2</v>
      </c>
      <c r="J134" s="244"/>
    </row>
    <row r="135" spans="2:10">
      <c r="C135" s="1" t="s">
        <v>41</v>
      </c>
      <c r="D135" s="245">
        <v>0.14976373516799923</v>
      </c>
      <c r="E135" s="1">
        <v>100</v>
      </c>
      <c r="F135" s="245">
        <v>0.8579</v>
      </c>
      <c r="G135" s="246">
        <v>508</v>
      </c>
      <c r="H135" s="246">
        <v>367</v>
      </c>
      <c r="I135" s="244">
        <v>-0.27755905511811019</v>
      </c>
      <c r="J135" s="244">
        <v>-7.3751936589356845E-2</v>
      </c>
    </row>
    <row r="136" spans="2:10">
      <c r="B136" s="1" t="s">
        <v>94</v>
      </c>
      <c r="C136" s="1" t="s">
        <v>39</v>
      </c>
      <c r="D136" s="245">
        <v>0.47011486384533407</v>
      </c>
      <c r="F136" s="245"/>
      <c r="G136" s="246">
        <v>69.87392169873921</v>
      </c>
      <c r="H136" s="246">
        <v>73.462566844919778</v>
      </c>
      <c r="I136" s="244">
        <v>5.1358862633372526E-2</v>
      </c>
      <c r="J136" s="244"/>
    </row>
    <row r="137" spans="2:10">
      <c r="C137" s="1" t="s">
        <v>85</v>
      </c>
      <c r="D137" s="245">
        <v>0</v>
      </c>
      <c r="F137" s="245"/>
      <c r="G137" s="246">
        <v>69.87392169873921</v>
      </c>
      <c r="H137" s="246">
        <v>73.462566844919778</v>
      </c>
      <c r="I137" s="244">
        <v>5.1358862633372526E-2</v>
      </c>
      <c r="J137" s="244"/>
    </row>
    <row r="138" spans="2:10">
      <c r="C138" s="1" t="s">
        <v>40</v>
      </c>
      <c r="D138" s="245">
        <v>0.52508060660544731</v>
      </c>
      <c r="F138" s="245"/>
      <c r="G138" s="246">
        <v>150</v>
      </c>
      <c r="H138" s="246">
        <v>120</v>
      </c>
      <c r="I138" s="244">
        <v>-0.19999999999999996</v>
      </c>
      <c r="J138" s="244"/>
    </row>
    <row r="139" spans="2:10">
      <c r="C139" s="1" t="s">
        <v>41</v>
      </c>
      <c r="D139" s="245">
        <v>4.8045295492185553E-3</v>
      </c>
      <c r="E139" s="1">
        <v>100</v>
      </c>
      <c r="F139" s="245">
        <v>1</v>
      </c>
      <c r="G139" s="246">
        <v>603</v>
      </c>
      <c r="H139" s="246">
        <v>461</v>
      </c>
      <c r="I139" s="244">
        <v>-0.23548922056384747</v>
      </c>
      <c r="J139" s="244">
        <v>-8.200297152567175E-2</v>
      </c>
    </row>
    <row r="140" spans="2:10">
      <c r="B140" s="1" t="s">
        <v>95</v>
      </c>
      <c r="C140" s="1" t="s">
        <v>39</v>
      </c>
      <c r="D140" s="245">
        <v>0.39179933230635983</v>
      </c>
      <c r="F140" s="245"/>
      <c r="G140" s="246">
        <v>70.588235294117638</v>
      </c>
      <c r="H140" s="246">
        <v>74.714104193138496</v>
      </c>
      <c r="I140" s="244">
        <v>5.8449809402795427E-2</v>
      </c>
      <c r="J140" s="244"/>
    </row>
    <row r="141" spans="2:10">
      <c r="C141" s="1" t="s">
        <v>85</v>
      </c>
      <c r="D141" s="245">
        <v>1.9194360188887347E-2</v>
      </c>
      <c r="F141" s="245"/>
      <c r="G141" s="246">
        <v>70.588235294117638</v>
      </c>
      <c r="H141" s="246">
        <v>74.714104193138496</v>
      </c>
      <c r="I141" s="244">
        <v>5.8449809402795427E-2</v>
      </c>
      <c r="J141" s="244"/>
    </row>
    <row r="142" spans="2:10">
      <c r="C142" s="1" t="s">
        <v>40</v>
      </c>
      <c r="D142" s="245">
        <v>0.57317543749590039</v>
      </c>
      <c r="F142" s="245"/>
      <c r="G142" s="246">
        <v>313</v>
      </c>
      <c r="H142" s="246">
        <v>271</v>
      </c>
      <c r="I142" s="244">
        <v>-0.13418530351437696</v>
      </c>
      <c r="J142" s="244"/>
    </row>
    <row r="143" spans="2:10">
      <c r="C143" s="1" t="s">
        <v>41</v>
      </c>
      <c r="D143" s="245">
        <v>1.5830870008852419E-2</v>
      </c>
      <c r="E143" s="1">
        <v>100</v>
      </c>
      <c r="F143" s="245">
        <v>0.98640000000000005</v>
      </c>
      <c r="G143" s="246">
        <v>577</v>
      </c>
      <c r="H143" s="246">
        <v>447</v>
      </c>
      <c r="I143" s="244">
        <v>-0.22530329289428075</v>
      </c>
      <c r="J143" s="244">
        <v>-5.6455964197650643E-2</v>
      </c>
    </row>
    <row r="144" spans="2:10">
      <c r="B144" s="1" t="s">
        <v>96</v>
      </c>
      <c r="C144" s="1" t="s">
        <v>39</v>
      </c>
      <c r="D144" s="245">
        <v>0.41714572097422731</v>
      </c>
      <c r="F144" s="245"/>
      <c r="G144" s="246">
        <v>116.54581410678972</v>
      </c>
      <c r="H144" s="246">
        <v>122.24448897795591</v>
      </c>
      <c r="I144" s="244">
        <v>4.8896435404746086E-2</v>
      </c>
      <c r="J144" s="244"/>
    </row>
    <row r="145" spans="2:10">
      <c r="C145" s="1" t="s">
        <v>85</v>
      </c>
      <c r="D145" s="245">
        <v>2.8340903993451037E-2</v>
      </c>
      <c r="F145" s="245"/>
      <c r="G145" s="246">
        <v>159.72313777191826</v>
      </c>
      <c r="H145" s="246">
        <v>173.94789579158316</v>
      </c>
      <c r="I145" s="244">
        <v>8.9058844060386555E-2</v>
      </c>
      <c r="J145" s="244"/>
    </row>
    <row r="146" spans="2:10">
      <c r="C146" s="1" t="s">
        <v>40</v>
      </c>
      <c r="D146" s="245">
        <v>0.526587857367812</v>
      </c>
      <c r="F146" s="245"/>
      <c r="G146" s="246">
        <v>452</v>
      </c>
      <c r="H146" s="246">
        <v>406</v>
      </c>
      <c r="I146" s="244">
        <v>-0.10176991150442483</v>
      </c>
      <c r="J146" s="244"/>
    </row>
    <row r="147" spans="2:10">
      <c r="C147" s="1" t="s">
        <v>41</v>
      </c>
      <c r="D147" s="245">
        <v>2.7925517664509618E-2</v>
      </c>
      <c r="E147" s="1">
        <v>100</v>
      </c>
      <c r="F147" s="245">
        <v>0.55079999999999996</v>
      </c>
      <c r="G147" s="246">
        <v>554</v>
      </c>
      <c r="H147" s="246">
        <v>414</v>
      </c>
      <c r="I147" s="244">
        <v>-0.25270758122743686</v>
      </c>
      <c r="J147" s="244">
        <v>-3.7726842717883513E-2</v>
      </c>
    </row>
    <row r="148" spans="2:10">
      <c r="B148" s="1" t="s">
        <v>99</v>
      </c>
      <c r="C148" s="1" t="s">
        <v>39</v>
      </c>
      <c r="D148" s="245">
        <v>0.22819333969367392</v>
      </c>
      <c r="F148" s="245"/>
      <c r="G148" s="246">
        <v>68.297331639135948</v>
      </c>
      <c r="H148" s="246">
        <v>69.565217391304344</v>
      </c>
      <c r="I148" s="244">
        <v>1.8564206268958605E-2</v>
      </c>
      <c r="J148" s="244"/>
    </row>
    <row r="149" spans="2:10">
      <c r="C149" s="1" t="s">
        <v>85</v>
      </c>
      <c r="D149" s="245">
        <v>0</v>
      </c>
      <c r="F149" s="245"/>
      <c r="G149" s="246">
        <v>68.297331639135948</v>
      </c>
      <c r="H149" s="246">
        <v>69.565217391304344</v>
      </c>
      <c r="I149" s="244">
        <v>1.8564206268958605E-2</v>
      </c>
      <c r="J149" s="244"/>
    </row>
    <row r="150" spans="2:10">
      <c r="C150" s="1" t="s">
        <v>40</v>
      </c>
      <c r="D150" s="245">
        <v>0.70411921822976176</v>
      </c>
      <c r="F150" s="245"/>
      <c r="G150" s="246">
        <v>238</v>
      </c>
      <c r="H150" s="246">
        <v>219</v>
      </c>
      <c r="I150" s="244">
        <v>-7.9831932773109293E-2</v>
      </c>
      <c r="J150" s="244"/>
    </row>
    <row r="151" spans="2:10">
      <c r="C151" s="1" t="s">
        <v>41</v>
      </c>
      <c r="D151" s="245">
        <v>6.7687442076564366E-2</v>
      </c>
      <c r="E151" s="1">
        <v>100</v>
      </c>
      <c r="F151" s="245">
        <v>1</v>
      </c>
      <c r="G151" s="246">
        <v>386</v>
      </c>
      <c r="H151" s="246">
        <v>346</v>
      </c>
      <c r="I151" s="244">
        <v>-0.10362694300518138</v>
      </c>
      <c r="J151" s="244">
        <v>-5.898921256893136E-2</v>
      </c>
    </row>
    <row r="152" spans="2:10">
      <c r="B152" s="1" t="s">
        <v>100</v>
      </c>
      <c r="C152" s="1" t="s">
        <v>39</v>
      </c>
      <c r="D152" s="245">
        <v>0.40585452482081286</v>
      </c>
      <c r="F152" s="245"/>
      <c r="G152" s="246">
        <v>84.511784511784526</v>
      </c>
      <c r="H152" s="246">
        <v>84.667114996637522</v>
      </c>
      <c r="I152" s="244">
        <v>1.837974263001696E-3</v>
      </c>
      <c r="J152" s="244"/>
    </row>
    <row r="153" spans="2:10">
      <c r="C153" s="1" t="s">
        <v>85</v>
      </c>
      <c r="D153" s="245">
        <v>5.3882389502551606E-4</v>
      </c>
      <c r="F153" s="245"/>
      <c r="G153" s="246">
        <v>162.96296296296296</v>
      </c>
      <c r="H153" s="246">
        <v>173.70544720914592</v>
      </c>
      <c r="I153" s="244">
        <v>6.5919789692486352E-2</v>
      </c>
      <c r="J153" s="244"/>
    </row>
    <row r="154" spans="2:10">
      <c r="C154" s="1" t="s">
        <v>40</v>
      </c>
      <c r="D154" s="245">
        <v>0.58317827967628022</v>
      </c>
      <c r="F154" s="245"/>
      <c r="G154" s="246">
        <v>345</v>
      </c>
      <c r="H154" s="246">
        <v>323</v>
      </c>
      <c r="I154" s="244">
        <v>-6.3768115942029024E-2</v>
      </c>
      <c r="J154" s="244"/>
    </row>
    <row r="155" spans="2:10">
      <c r="C155" s="1" t="s">
        <v>41</v>
      </c>
      <c r="D155" s="245">
        <v>1.0428371607881421E-2</v>
      </c>
      <c r="E155" s="1">
        <v>100</v>
      </c>
      <c r="F155" s="245">
        <v>1</v>
      </c>
      <c r="G155" s="246">
        <v>382</v>
      </c>
      <c r="H155" s="246">
        <v>336</v>
      </c>
      <c r="I155" s="244">
        <v>-0.12041884816753923</v>
      </c>
      <c r="J155" s="244">
        <v>-3.7662483321569407E-2</v>
      </c>
    </row>
    <row r="156" spans="2:10">
      <c r="B156" s="1" t="s">
        <v>101</v>
      </c>
      <c r="C156" s="1" t="s">
        <v>39</v>
      </c>
      <c r="D156" s="245">
        <v>0.51873201519134982</v>
      </c>
      <c r="F156" s="245"/>
      <c r="G156" s="246">
        <v>54</v>
      </c>
      <c r="H156" s="246">
        <v>54</v>
      </c>
      <c r="I156" s="244">
        <v>0</v>
      </c>
      <c r="J156" s="244"/>
    </row>
    <row r="157" spans="2:10">
      <c r="C157" s="1" t="s">
        <v>85</v>
      </c>
      <c r="D157" s="245">
        <v>1.0367604948548917E-3</v>
      </c>
      <c r="F157" s="245"/>
      <c r="G157" s="246">
        <v>54</v>
      </c>
      <c r="H157" s="246">
        <v>54</v>
      </c>
      <c r="I157" s="244">
        <v>0</v>
      </c>
      <c r="J157" s="244"/>
    </row>
    <row r="158" spans="2:10">
      <c r="C158" s="1" t="s">
        <v>40</v>
      </c>
      <c r="D158" s="245">
        <v>0.47768577096486331</v>
      </c>
      <c r="F158" s="245"/>
      <c r="G158" s="246">
        <v>150</v>
      </c>
      <c r="H158" s="246">
        <v>128</v>
      </c>
      <c r="I158" s="244">
        <v>-0.14666666666666661</v>
      </c>
      <c r="J158" s="244"/>
    </row>
    <row r="159" spans="2:10">
      <c r="C159" s="1" t="s">
        <v>41</v>
      </c>
      <c r="D159" s="245">
        <v>2.5454533489318244E-3</v>
      </c>
      <c r="E159" s="1">
        <v>100</v>
      </c>
      <c r="F159" s="245">
        <v>1</v>
      </c>
      <c r="G159" s="246">
        <v>445</v>
      </c>
      <c r="H159" s="246">
        <v>395</v>
      </c>
      <c r="I159" s="244">
        <v>-0.11235955056179781</v>
      </c>
      <c r="J159" s="244">
        <v>-7.0346585735775263E-2</v>
      </c>
    </row>
    <row r="160" spans="2:10">
      <c r="B160" s="1" t="s">
        <v>102</v>
      </c>
      <c r="C160" s="1" t="s">
        <v>39</v>
      </c>
      <c r="D160" s="245">
        <v>0.55153010982638839</v>
      </c>
      <c r="F160" s="245"/>
      <c r="G160" s="246">
        <v>91</v>
      </c>
      <c r="H160" s="246">
        <v>92</v>
      </c>
      <c r="I160" s="244">
        <v>1.098901098901095E-2</v>
      </c>
      <c r="J160" s="244"/>
    </row>
    <row r="161" spans="2:10">
      <c r="C161" s="1" t="s">
        <v>85</v>
      </c>
      <c r="D161" s="245">
        <v>1.9183505813275916E-3</v>
      </c>
      <c r="F161" s="245"/>
      <c r="G161" s="246">
        <v>127.7200277200277</v>
      </c>
      <c r="H161" s="246">
        <v>135.75883575883574</v>
      </c>
      <c r="I161" s="244">
        <v>6.2940857297884012E-2</v>
      </c>
      <c r="J161" s="244"/>
    </row>
    <row r="162" spans="2:10">
      <c r="C162" s="1" t="s">
        <v>40</v>
      </c>
      <c r="D162" s="245">
        <v>0.44386950999529851</v>
      </c>
      <c r="F162" s="245"/>
      <c r="G162" s="246">
        <v>238</v>
      </c>
      <c r="H162" s="246">
        <v>215</v>
      </c>
      <c r="I162" s="244">
        <v>-9.6638655462184864E-2</v>
      </c>
      <c r="J162" s="244"/>
    </row>
    <row r="163" spans="2:10">
      <c r="C163" s="1" t="s">
        <v>41</v>
      </c>
      <c r="D163" s="245">
        <v>2.6820295969854349E-3</v>
      </c>
      <c r="E163" s="1">
        <v>100</v>
      </c>
      <c r="F163" s="245">
        <v>0.7944</v>
      </c>
      <c r="G163" s="246">
        <v>461</v>
      </c>
      <c r="H163" s="246">
        <v>415</v>
      </c>
      <c r="I163" s="244">
        <v>-9.9783080260303691E-2</v>
      </c>
      <c r="J163" s="244">
        <v>-3.6981060753301723E-2</v>
      </c>
    </row>
    <row r="164" spans="2:10">
      <c r="B164" s="1" t="s">
        <v>103</v>
      </c>
      <c r="C164" s="1" t="s">
        <v>39</v>
      </c>
      <c r="D164" s="245">
        <v>0.47752372051938541</v>
      </c>
      <c r="F164" s="245"/>
      <c r="G164" s="246">
        <v>49</v>
      </c>
      <c r="H164" s="246">
        <v>49</v>
      </c>
      <c r="I164" s="244">
        <v>0</v>
      </c>
      <c r="J164" s="244"/>
    </row>
    <row r="165" spans="2:10">
      <c r="C165" s="1" t="s">
        <v>85</v>
      </c>
      <c r="D165" s="245">
        <v>2.2746572411219534E-2</v>
      </c>
      <c r="F165" s="245"/>
      <c r="G165" s="246">
        <v>49</v>
      </c>
      <c r="H165" s="246">
        <v>52.899484536082475</v>
      </c>
      <c r="I165" s="244">
        <v>7.9581317062907608E-2</v>
      </c>
      <c r="J165" s="244"/>
    </row>
    <row r="166" spans="2:10">
      <c r="C166" s="1" t="s">
        <v>40</v>
      </c>
      <c r="D166" s="245">
        <v>0.49638931927277608</v>
      </c>
      <c r="F166" s="245"/>
      <c r="G166" s="246">
        <v>263</v>
      </c>
      <c r="H166" s="246">
        <v>247</v>
      </c>
      <c r="I166" s="244">
        <v>-6.0836501901140649E-2</v>
      </c>
      <c r="J166" s="244"/>
    </row>
    <row r="167" spans="2:10">
      <c r="C167" s="1" t="s">
        <v>41</v>
      </c>
      <c r="D167" s="245">
        <v>3.3403877966188818E-3</v>
      </c>
      <c r="E167" s="1">
        <v>100</v>
      </c>
      <c r="F167" s="245">
        <v>1</v>
      </c>
      <c r="G167" s="246">
        <v>406</v>
      </c>
      <c r="H167" s="246">
        <v>367</v>
      </c>
      <c r="I167" s="244">
        <v>-9.605911330049266E-2</v>
      </c>
      <c r="J167" s="244">
        <v>-2.8709262264315503E-2</v>
      </c>
    </row>
    <row r="168" spans="2:10">
      <c r="B168" s="1" t="s">
        <v>104</v>
      </c>
      <c r="C168" s="1" t="s">
        <v>39</v>
      </c>
      <c r="D168" s="245">
        <v>0.40536194489203525</v>
      </c>
      <c r="F168" s="245"/>
      <c r="G168" s="246">
        <v>83.147540983606561</v>
      </c>
      <c r="H168" s="246">
        <v>83.420707732634327</v>
      </c>
      <c r="I168" s="244">
        <v>3.2853256487961335E-3</v>
      </c>
      <c r="J168" s="244"/>
    </row>
    <row r="169" spans="2:10">
      <c r="C169" s="1" t="s">
        <v>85</v>
      </c>
      <c r="D169" s="245">
        <v>6.5454654886800953E-2</v>
      </c>
      <c r="F169" s="245"/>
      <c r="G169" s="246">
        <v>152.59016393442624</v>
      </c>
      <c r="H169" s="246">
        <v>161.59895150720837</v>
      </c>
      <c r="I169" s="244">
        <v>5.9039110651021742E-2</v>
      </c>
      <c r="J169" s="244"/>
    </row>
    <row r="170" spans="2:10">
      <c r="C170" s="1" t="s">
        <v>40</v>
      </c>
      <c r="D170" s="245">
        <v>0.52408923858855239</v>
      </c>
      <c r="F170" s="245"/>
      <c r="G170" s="246">
        <v>269</v>
      </c>
      <c r="H170" s="246">
        <v>256</v>
      </c>
      <c r="I170" s="244">
        <v>-4.8327137546468446E-2</v>
      </c>
      <c r="J170" s="244"/>
    </row>
    <row r="171" spans="2:10">
      <c r="C171" s="1" t="s">
        <v>41</v>
      </c>
      <c r="D171" s="245">
        <v>5.0941616326115966E-3</v>
      </c>
      <c r="E171" s="1">
        <v>100</v>
      </c>
      <c r="F171" s="245">
        <v>1</v>
      </c>
      <c r="G171" s="246">
        <v>398</v>
      </c>
      <c r="H171" s="246">
        <v>354</v>
      </c>
      <c r="I171" s="244">
        <v>-0.11055276381909551</v>
      </c>
      <c r="J171" s="244">
        <v>-2.0694775760633329E-2</v>
      </c>
    </row>
    <row r="172" spans="2:10">
      <c r="B172" s="1" t="s">
        <v>105</v>
      </c>
      <c r="C172" s="1" t="s">
        <v>39</v>
      </c>
      <c r="D172" s="245">
        <v>0.2697150173848612</v>
      </c>
      <c r="F172" s="245"/>
      <c r="G172" s="246">
        <v>91.543340380549679</v>
      </c>
      <c r="H172" s="246">
        <v>94.581280788177338</v>
      </c>
      <c r="I172" s="244">
        <v>3.3185815538288255E-2</v>
      </c>
      <c r="J172" s="244"/>
    </row>
    <row r="173" spans="2:10">
      <c r="C173" s="1" t="s">
        <v>85</v>
      </c>
      <c r="D173" s="245">
        <v>2.0308869073414594E-2</v>
      </c>
      <c r="F173" s="245"/>
      <c r="G173" s="246">
        <v>120.64834390415787</v>
      </c>
      <c r="H173" s="246">
        <v>133.14567206192822</v>
      </c>
      <c r="I173" s="244">
        <v>0.10358474682170637</v>
      </c>
      <c r="J173" s="244"/>
    </row>
    <row r="174" spans="2:10">
      <c r="C174" s="1" t="s">
        <v>40</v>
      </c>
      <c r="D174" s="245">
        <v>0.64295259604337052</v>
      </c>
      <c r="F174" s="245"/>
      <c r="G174" s="246">
        <v>305</v>
      </c>
      <c r="H174" s="246">
        <v>281</v>
      </c>
      <c r="I174" s="244">
        <v>-7.8688524590163955E-2</v>
      </c>
      <c r="J174" s="244"/>
    </row>
    <row r="175" spans="2:10">
      <c r="C175" s="1" t="s">
        <v>41</v>
      </c>
      <c r="D175" s="245">
        <v>6.7023517498353641E-2</v>
      </c>
      <c r="E175" s="1">
        <v>100</v>
      </c>
      <c r="F175" s="245">
        <v>0.63</v>
      </c>
      <c r="G175" s="246">
        <v>461</v>
      </c>
      <c r="H175" s="246">
        <v>414</v>
      </c>
      <c r="I175" s="244">
        <v>-0.10195227765726678</v>
      </c>
      <c r="J175" s="244">
        <v>-4.6371789553582295E-2</v>
      </c>
    </row>
    <row r="176" spans="2:10">
      <c r="B176" s="1" t="s">
        <v>106</v>
      </c>
      <c r="C176" s="1" t="s">
        <v>39</v>
      </c>
      <c r="D176" s="245">
        <v>0.26164078599550655</v>
      </c>
      <c r="F176" s="245"/>
      <c r="G176" s="246">
        <v>103.4805890227577</v>
      </c>
      <c r="H176" s="246">
        <v>110.73598919648884</v>
      </c>
      <c r="I176" s="244">
        <v>7.0113634279135306E-2</v>
      </c>
      <c r="J176" s="244"/>
    </row>
    <row r="177" spans="2:10">
      <c r="C177" s="1" t="s">
        <v>85</v>
      </c>
      <c r="D177" s="245">
        <v>1.1670110993711052E-2</v>
      </c>
      <c r="F177" s="245"/>
      <c r="G177" s="246">
        <v>153.88219544846049</v>
      </c>
      <c r="H177" s="246">
        <v>165.22619851451719</v>
      </c>
      <c r="I177" s="244">
        <v>7.3718749807258455E-2</v>
      </c>
      <c r="J177" s="244"/>
    </row>
    <row r="178" spans="2:10">
      <c r="C178" s="1" t="s">
        <v>40</v>
      </c>
      <c r="D178" s="245">
        <v>0.67436970391095274</v>
      </c>
      <c r="F178" s="245"/>
      <c r="G178" s="246">
        <v>322</v>
      </c>
      <c r="H178" s="246">
        <v>276</v>
      </c>
      <c r="I178" s="244">
        <v>-0.1428571428571429</v>
      </c>
      <c r="J178" s="244"/>
    </row>
    <row r="179" spans="2:10">
      <c r="C179" s="1" t="s">
        <v>41</v>
      </c>
      <c r="D179" s="245">
        <v>5.2319399099829494E-2</v>
      </c>
      <c r="E179" s="1">
        <v>100</v>
      </c>
      <c r="F179" s="245">
        <v>0.99</v>
      </c>
      <c r="G179" s="246">
        <v>388</v>
      </c>
      <c r="H179" s="246">
        <v>346</v>
      </c>
      <c r="I179" s="244">
        <v>-0.10824742268041232</v>
      </c>
      <c r="J179" s="244">
        <v>-8.2797076864517788E-2</v>
      </c>
    </row>
    <row r="180" spans="2:10">
      <c r="B180" s="1" t="s">
        <v>107</v>
      </c>
      <c r="C180" s="1" t="s">
        <v>39</v>
      </c>
      <c r="D180" s="245">
        <v>0.27479413485834958</v>
      </c>
      <c r="F180" s="245"/>
      <c r="G180" s="246">
        <v>50</v>
      </c>
      <c r="H180" s="246">
        <v>50</v>
      </c>
      <c r="I180" s="244">
        <v>0</v>
      </c>
      <c r="J180" s="244"/>
    </row>
    <row r="181" spans="2:10">
      <c r="C181" s="1" t="s">
        <v>85</v>
      </c>
      <c r="D181" s="245">
        <v>0</v>
      </c>
      <c r="F181" s="245"/>
      <c r="G181" s="246">
        <v>50</v>
      </c>
      <c r="H181" s="246">
        <v>50</v>
      </c>
      <c r="I181" s="244">
        <v>0</v>
      </c>
      <c r="J181" s="244"/>
    </row>
    <row r="182" spans="2:10">
      <c r="C182" s="1" t="s">
        <v>40</v>
      </c>
      <c r="D182" s="245">
        <v>0.70075995811773617</v>
      </c>
      <c r="F182" s="245"/>
      <c r="G182" s="246">
        <v>131</v>
      </c>
      <c r="H182" s="246">
        <v>113</v>
      </c>
      <c r="I182" s="244">
        <v>-0.13740458015267176</v>
      </c>
      <c r="J182" s="244"/>
    </row>
    <row r="183" spans="2:10">
      <c r="C183" s="1" t="s">
        <v>41</v>
      </c>
      <c r="D183" s="245">
        <v>2.4445907023914359E-2</v>
      </c>
      <c r="E183" s="1">
        <v>100</v>
      </c>
      <c r="F183" s="245">
        <v>1</v>
      </c>
      <c r="G183" s="246">
        <v>409</v>
      </c>
      <c r="H183" s="246">
        <v>367</v>
      </c>
      <c r="I183" s="244">
        <v>-0.10268948655256727</v>
      </c>
      <c r="J183" s="244">
        <v>-9.8797965473568949E-2</v>
      </c>
    </row>
    <row r="184" spans="2:10">
      <c r="B184" s="1" t="s">
        <v>108</v>
      </c>
      <c r="C184" s="1" t="s">
        <v>39</v>
      </c>
      <c r="D184" s="245">
        <v>0.54708986850593666</v>
      </c>
      <c r="F184" s="245"/>
      <c r="G184" s="246">
        <v>47</v>
      </c>
      <c r="H184" s="246">
        <v>47</v>
      </c>
      <c r="I184" s="244">
        <v>0</v>
      </c>
      <c r="J184" s="244"/>
    </row>
    <row r="185" spans="2:10">
      <c r="C185" s="1" t="s">
        <v>85</v>
      </c>
      <c r="D185" s="245">
        <v>1.9191337976413459E-3</v>
      </c>
      <c r="F185" s="245"/>
      <c r="G185" s="246">
        <v>47</v>
      </c>
      <c r="H185" s="246">
        <v>49.809885931558938</v>
      </c>
      <c r="I185" s="244">
        <v>5.9784807054445555E-2</v>
      </c>
      <c r="J185" s="244"/>
    </row>
    <row r="186" spans="2:10">
      <c r="C186" s="1" t="s">
        <v>40</v>
      </c>
      <c r="D186" s="245">
        <v>0.45075599408427053</v>
      </c>
      <c r="F186" s="245"/>
      <c r="G186" s="246">
        <v>173</v>
      </c>
      <c r="H186" s="246">
        <v>144</v>
      </c>
      <c r="I186" s="244">
        <v>-0.16763005780346818</v>
      </c>
      <c r="J186" s="244">
        <v>-7.5445518299802367E-2</v>
      </c>
    </row>
    <row r="187" spans="2:10">
      <c r="B187" s="1" t="s">
        <v>109</v>
      </c>
      <c r="C187" s="1" t="s">
        <v>39</v>
      </c>
      <c r="D187" s="245">
        <v>0.42267448698590826</v>
      </c>
      <c r="F187" s="245"/>
      <c r="G187" s="246">
        <v>95</v>
      </c>
      <c r="H187" s="246">
        <v>96</v>
      </c>
      <c r="I187" s="244">
        <v>1.0526315789473717E-2</v>
      </c>
      <c r="J187" s="244"/>
    </row>
    <row r="188" spans="2:10">
      <c r="C188" s="1" t="s">
        <v>85</v>
      </c>
      <c r="D188" s="245">
        <v>1.0000829262965855E-2</v>
      </c>
      <c r="F188" s="245"/>
      <c r="G188" s="246">
        <v>132.11731044349068</v>
      </c>
      <c r="H188" s="246">
        <v>140.38598999285205</v>
      </c>
      <c r="I188" s="244">
        <v>6.2585890687640422E-2</v>
      </c>
      <c r="J188" s="244"/>
    </row>
    <row r="189" spans="2:10">
      <c r="C189" s="1" t="s">
        <v>40</v>
      </c>
      <c r="D189" s="245">
        <v>0.55381290595911647</v>
      </c>
      <c r="F189" s="245"/>
      <c r="G189" s="246">
        <v>322</v>
      </c>
      <c r="H189" s="246">
        <v>294</v>
      </c>
      <c r="I189" s="244">
        <v>-8.6956521739130488E-2</v>
      </c>
      <c r="J189" s="244"/>
    </row>
    <row r="190" spans="2:10">
      <c r="C190" s="1" t="s">
        <v>41</v>
      </c>
      <c r="D190" s="245">
        <v>1.3511777792009355E-2</v>
      </c>
      <c r="E190" s="1">
        <v>100</v>
      </c>
      <c r="F190" s="245">
        <v>1</v>
      </c>
      <c r="G190" s="246">
        <v>443</v>
      </c>
      <c r="H190" s="246">
        <v>396</v>
      </c>
      <c r="I190" s="244">
        <v>-0.10609480812641081</v>
      </c>
      <c r="J190" s="244">
        <v>-4.4516057535529667E-2</v>
      </c>
    </row>
    <row r="191" spans="2:10">
      <c r="B191" s="1" t="s">
        <v>112</v>
      </c>
      <c r="C191" s="1" t="s">
        <v>39</v>
      </c>
      <c r="D191" s="245">
        <v>0.72875124616143516</v>
      </c>
      <c r="F191" s="245"/>
      <c r="G191" s="246">
        <v>31.014677728142949</v>
      </c>
      <c r="H191" s="246">
        <v>31.979695431472084</v>
      </c>
      <c r="I191" s="244">
        <v>3.1114871216394224E-2</v>
      </c>
      <c r="J191" s="244"/>
    </row>
    <row r="192" spans="2:10">
      <c r="C192" s="1" t="s">
        <v>85</v>
      </c>
      <c r="D192" s="245">
        <v>0</v>
      </c>
      <c r="F192" s="245"/>
      <c r="G192" s="246">
        <v>31.014677728142949</v>
      </c>
      <c r="H192" s="246">
        <v>31.979695431472084</v>
      </c>
      <c r="I192" s="244">
        <v>3.1114871216394224E-2</v>
      </c>
      <c r="J192" s="244"/>
    </row>
    <row r="193" spans="2:10">
      <c r="C193" s="1" t="s">
        <v>40</v>
      </c>
      <c r="D193" s="245">
        <v>0.26423981125459883</v>
      </c>
      <c r="F193" s="245"/>
      <c r="G193" s="246">
        <v>90</v>
      </c>
      <c r="H193" s="246">
        <v>73</v>
      </c>
      <c r="I193" s="244">
        <v>-0.18888888888888888</v>
      </c>
      <c r="J193" s="244"/>
    </row>
    <row r="194" spans="2:10">
      <c r="C194" s="1" t="s">
        <v>41</v>
      </c>
      <c r="D194" s="245">
        <v>7.0089425839660749E-3</v>
      </c>
      <c r="E194" s="1">
        <v>100</v>
      </c>
      <c r="F194" s="245">
        <v>0.56000000000000005</v>
      </c>
      <c r="G194" s="246">
        <v>471</v>
      </c>
      <c r="H194" s="246">
        <v>401</v>
      </c>
      <c r="I194" s="244">
        <v>-0.14861995753715496</v>
      </c>
      <c r="J194" s="244">
        <v>-2.8278631924200427E-2</v>
      </c>
    </row>
    <row r="195" spans="2:10">
      <c r="B195" s="1" t="s">
        <v>113</v>
      </c>
      <c r="C195" s="1" t="s">
        <v>39</v>
      </c>
      <c r="D195" s="245">
        <v>0.7251690583764937</v>
      </c>
      <c r="F195" s="245"/>
      <c r="G195" s="246">
        <v>31</v>
      </c>
      <c r="H195" s="246">
        <v>31</v>
      </c>
      <c r="I195" s="244">
        <v>0</v>
      </c>
      <c r="J195" s="244"/>
    </row>
    <row r="196" spans="2:10">
      <c r="C196" s="1" t="s">
        <v>85</v>
      </c>
      <c r="D196" s="245">
        <v>3.6087206434778632E-3</v>
      </c>
      <c r="F196" s="245"/>
      <c r="G196" s="246">
        <v>31</v>
      </c>
      <c r="H196" s="246">
        <v>31</v>
      </c>
      <c r="I196" s="244">
        <v>0</v>
      </c>
      <c r="J196" s="244"/>
    </row>
    <row r="197" spans="2:10">
      <c r="C197" s="1" t="s">
        <v>40</v>
      </c>
      <c r="D197" s="245">
        <v>0.25752097133644575</v>
      </c>
      <c r="F197" s="245"/>
      <c r="G197" s="246">
        <v>45</v>
      </c>
      <c r="H197" s="246">
        <v>29</v>
      </c>
      <c r="I197" s="244">
        <v>-0.35555555555555551</v>
      </c>
      <c r="J197" s="244"/>
    </row>
    <row r="198" spans="2:10">
      <c r="C198" s="1" t="s">
        <v>41</v>
      </c>
      <c r="D198" s="245">
        <v>1.3701249643582712E-2</v>
      </c>
      <c r="E198" s="1">
        <v>300</v>
      </c>
      <c r="F198" s="245">
        <v>0.38</v>
      </c>
      <c r="G198" s="246">
        <v>233</v>
      </c>
      <c r="H198" s="246">
        <v>155</v>
      </c>
      <c r="I198" s="244">
        <v>-0.33476394849785407</v>
      </c>
      <c r="J198" s="244">
        <v>-9.6149696460776826E-2</v>
      </c>
    </row>
    <row r="199" spans="2:10">
      <c r="B199" s="1" t="s">
        <v>114</v>
      </c>
      <c r="C199" s="1" t="s">
        <v>39</v>
      </c>
      <c r="D199" s="245">
        <v>0.2351621042011596</v>
      </c>
      <c r="F199" s="245"/>
      <c r="G199" s="246">
        <v>40.871236386931457</v>
      </c>
      <c r="H199" s="246">
        <v>42.25352112676056</v>
      </c>
      <c r="I199" s="244">
        <v>3.3820477725285736E-2</v>
      </c>
      <c r="J199" s="244"/>
    </row>
    <row r="200" spans="2:10">
      <c r="C200" s="1" t="s">
        <v>85</v>
      </c>
      <c r="D200" s="245">
        <v>5.1844726082278093E-6</v>
      </c>
      <c r="F200" s="245"/>
      <c r="G200" s="246">
        <v>40.871236386931457</v>
      </c>
      <c r="H200" s="246">
        <v>42.25352112676056</v>
      </c>
      <c r="I200" s="244">
        <v>3.3820477725285736E-2</v>
      </c>
      <c r="J200" s="244"/>
    </row>
    <row r="201" spans="2:10">
      <c r="C201" s="1" t="s">
        <v>40</v>
      </c>
      <c r="D201" s="245">
        <v>0.51875374092101634</v>
      </c>
      <c r="F201" s="245"/>
      <c r="G201" s="246">
        <v>98</v>
      </c>
      <c r="H201" s="246">
        <v>78</v>
      </c>
      <c r="I201" s="244">
        <v>-0.20408163265306123</v>
      </c>
      <c r="J201" s="244"/>
    </row>
    <row r="202" spans="2:10">
      <c r="C202" s="1" t="s">
        <v>41</v>
      </c>
      <c r="D202" s="245">
        <v>0.24607897040521576</v>
      </c>
      <c r="E202" s="1">
        <v>100</v>
      </c>
      <c r="F202" s="245">
        <v>0.86</v>
      </c>
      <c r="G202" s="246">
        <v>465</v>
      </c>
      <c r="H202" s="246">
        <v>403</v>
      </c>
      <c r="I202" s="244">
        <v>-0.1333333333333333</v>
      </c>
      <c r="J202" s="244">
        <v>-0.13072516973109924</v>
      </c>
    </row>
    <row r="203" spans="2:10">
      <c r="B203" s="1" t="s">
        <v>115</v>
      </c>
      <c r="C203" s="1" t="s">
        <v>39</v>
      </c>
      <c r="D203" s="245">
        <v>0.38597063273306642</v>
      </c>
      <c r="F203" s="245"/>
      <c r="G203" s="246">
        <v>62.483574244415244</v>
      </c>
      <c r="H203" s="246">
        <v>64.4123440577807</v>
      </c>
      <c r="I203" s="244">
        <v>3.0868429610328318E-2</v>
      </c>
      <c r="J203" s="244"/>
    </row>
    <row r="204" spans="2:10">
      <c r="C204" s="1" t="s">
        <v>85</v>
      </c>
      <c r="D204" s="245">
        <v>4.6725806013596504E-3</v>
      </c>
      <c r="F204" s="245"/>
      <c r="G204" s="246">
        <v>71</v>
      </c>
      <c r="H204" s="246">
        <v>71</v>
      </c>
      <c r="I204" s="244">
        <v>0</v>
      </c>
      <c r="J204" s="244"/>
    </row>
    <row r="205" spans="2:10">
      <c r="C205" s="1" t="s">
        <v>40</v>
      </c>
      <c r="D205" s="245">
        <v>0.60451230578042137</v>
      </c>
      <c r="F205" s="245"/>
      <c r="G205" s="246">
        <v>80</v>
      </c>
      <c r="H205" s="246">
        <v>64</v>
      </c>
      <c r="I205" s="244">
        <v>-0.19999999999999996</v>
      </c>
      <c r="J205" s="244"/>
    </row>
    <row r="206" spans="2:10">
      <c r="C206" s="1" t="s">
        <v>41</v>
      </c>
      <c r="D206" s="245">
        <v>4.8444808851524921E-3</v>
      </c>
      <c r="E206" s="1">
        <v>100</v>
      </c>
      <c r="F206" s="245">
        <v>1</v>
      </c>
      <c r="G206" s="246">
        <v>507</v>
      </c>
      <c r="H206" s="246">
        <v>437</v>
      </c>
      <c r="I206" s="244">
        <v>-0.13806706114398426</v>
      </c>
      <c r="J206" s="244">
        <v>-0.10965701708649092</v>
      </c>
    </row>
    <row r="207" spans="2:10">
      <c r="B207" s="1" t="s">
        <v>116</v>
      </c>
      <c r="C207" s="1" t="s">
        <v>39</v>
      </c>
      <c r="D207" s="245">
        <v>0.16485307422785933</v>
      </c>
      <c r="F207" s="245"/>
      <c r="G207" s="246">
        <v>55.250514756348664</v>
      </c>
      <c r="H207" s="246">
        <v>56.703146374828997</v>
      </c>
      <c r="I207" s="244">
        <v>2.6291730038830341E-2</v>
      </c>
      <c r="J207" s="244"/>
    </row>
    <row r="208" spans="2:10">
      <c r="C208" s="1" t="s">
        <v>85</v>
      </c>
      <c r="D208" s="245">
        <v>3.7152047539473217E-2</v>
      </c>
      <c r="F208" s="245"/>
      <c r="G208" s="246">
        <v>102.53946465339739</v>
      </c>
      <c r="H208" s="246">
        <v>103.83036935704514</v>
      </c>
      <c r="I208" s="244">
        <v>1.258934506837206E-2</v>
      </c>
      <c r="J208" s="244"/>
    </row>
    <row r="209" spans="2:10">
      <c r="C209" s="1" t="s">
        <v>40</v>
      </c>
      <c r="D209" s="245">
        <v>0.67721136980800967</v>
      </c>
      <c r="F209" s="245"/>
      <c r="G209" s="246">
        <v>258</v>
      </c>
      <c r="H209" s="246">
        <v>230</v>
      </c>
      <c r="I209" s="244">
        <v>-0.10852713178294571</v>
      </c>
      <c r="J209" s="244"/>
    </row>
    <row r="210" spans="2:10">
      <c r="C210" s="1" t="s">
        <v>41</v>
      </c>
      <c r="D210" s="245">
        <v>0.12078350842465782</v>
      </c>
      <c r="E210" s="1">
        <v>100</v>
      </c>
      <c r="F210" s="245">
        <v>0.79</v>
      </c>
      <c r="G210" s="246">
        <v>422</v>
      </c>
      <c r="H210" s="246">
        <v>350</v>
      </c>
      <c r="I210" s="244">
        <v>-0.17061611374407581</v>
      </c>
      <c r="J210" s="244">
        <v>-8.9301427917711867E-2</v>
      </c>
    </row>
    <row r="211" spans="2:10">
      <c r="B211" s="1" t="s">
        <v>117</v>
      </c>
      <c r="C211" s="1" t="s">
        <v>39</v>
      </c>
      <c r="D211" s="245">
        <v>5.8648361851266213E-2</v>
      </c>
      <c r="F211" s="245"/>
      <c r="G211" s="246">
        <v>47.177157689811814</v>
      </c>
      <c r="H211" s="246">
        <v>49.061488673139159</v>
      </c>
      <c r="I211" s="244">
        <v>3.9941596221560349E-2</v>
      </c>
      <c r="J211" s="244"/>
    </row>
    <row r="212" spans="2:10">
      <c r="C212" s="1" t="s">
        <v>85</v>
      </c>
      <c r="D212" s="245">
        <v>4.8165413900494239E-3</v>
      </c>
      <c r="F212" s="245"/>
      <c r="G212" s="246">
        <v>48.994159636599612</v>
      </c>
      <c r="H212" s="246">
        <v>54.5631067961165</v>
      </c>
      <c r="I212" s="244">
        <v>0.11366553076576857</v>
      </c>
      <c r="J212" s="244"/>
    </row>
    <row r="213" spans="2:10">
      <c r="C213" s="1" t="s">
        <v>40</v>
      </c>
      <c r="D213" s="245">
        <v>0.87788673490741809</v>
      </c>
      <c r="F213" s="245"/>
      <c r="G213" s="246">
        <v>110</v>
      </c>
      <c r="H213" s="246">
        <v>92</v>
      </c>
      <c r="I213" s="244">
        <v>-0.16363636363636369</v>
      </c>
      <c r="J213" s="244"/>
    </row>
    <row r="214" spans="2:10">
      <c r="C214" s="1" t="s">
        <v>41</v>
      </c>
      <c r="D214" s="245">
        <v>5.8648361851266213E-2</v>
      </c>
      <c r="E214" s="1">
        <v>100</v>
      </c>
      <c r="F214" s="245">
        <v>0.9929</v>
      </c>
      <c r="G214" s="246">
        <v>500</v>
      </c>
      <c r="H214" s="246">
        <v>430</v>
      </c>
      <c r="I214" s="244">
        <v>-0.14000000000000001</v>
      </c>
      <c r="J214" s="244">
        <v>-0.14897497972235305</v>
      </c>
    </row>
    <row r="215" spans="2:10">
      <c r="B215" s="1" t="s">
        <v>118</v>
      </c>
      <c r="C215" s="1" t="s">
        <v>39</v>
      </c>
      <c r="D215" s="245">
        <v>0.47190855530266407</v>
      </c>
      <c r="F215" s="245"/>
      <c r="G215" s="246">
        <v>36.84210526315789</v>
      </c>
      <c r="H215" s="246">
        <v>37.931034482758619</v>
      </c>
      <c r="I215" s="244">
        <v>2.9556650246305605E-2</v>
      </c>
      <c r="J215" s="244"/>
    </row>
    <row r="216" spans="2:10">
      <c r="C216" s="1" t="s">
        <v>85</v>
      </c>
      <c r="D216" s="245">
        <v>8.8924613201729917E-5</v>
      </c>
      <c r="F216" s="245"/>
      <c r="G216" s="246">
        <v>36.84210526315789</v>
      </c>
      <c r="H216" s="246">
        <v>37.931034482758619</v>
      </c>
      <c r="I216" s="244">
        <v>2.9556650246305605E-2</v>
      </c>
      <c r="J216" s="244"/>
    </row>
    <row r="217" spans="2:10">
      <c r="C217" s="1" t="s">
        <v>40</v>
      </c>
      <c r="D217" s="245">
        <v>0.41162853685362932</v>
      </c>
      <c r="F217" s="245"/>
      <c r="G217" s="246">
        <v>83</v>
      </c>
      <c r="H217" s="246">
        <v>70</v>
      </c>
      <c r="I217" s="244">
        <v>-0.15662650602409633</v>
      </c>
      <c r="J217" s="244"/>
    </row>
    <row r="218" spans="2:10">
      <c r="C218" s="1" t="s">
        <v>41</v>
      </c>
      <c r="D218" s="245">
        <v>0.11637398323050478</v>
      </c>
      <c r="E218" s="1">
        <v>100</v>
      </c>
      <c r="F218" s="245">
        <v>0.6</v>
      </c>
      <c r="G218" s="246">
        <v>467</v>
      </c>
      <c r="H218" s="246">
        <v>395</v>
      </c>
      <c r="I218" s="244">
        <v>-0.15417558886509641</v>
      </c>
      <c r="J218" s="244">
        <v>-6.8463302469323972E-2</v>
      </c>
    </row>
    <row r="219" spans="2:10">
      <c r="B219" s="1" t="s">
        <v>119</v>
      </c>
      <c r="C219" s="1" t="s">
        <v>39</v>
      </c>
      <c r="D219" s="245">
        <v>0.1540726858429817</v>
      </c>
      <c r="F219" s="245"/>
      <c r="G219" s="246">
        <v>40.406607369758575</v>
      </c>
      <c r="H219" s="246">
        <v>42.549143944197844</v>
      </c>
      <c r="I219" s="244">
        <v>5.3024411449173137E-2</v>
      </c>
      <c r="J219" s="244"/>
    </row>
    <row r="220" spans="2:10">
      <c r="C220" s="1" t="s">
        <v>85</v>
      </c>
      <c r="D220" s="245">
        <v>6.812214036241564E-3</v>
      </c>
      <c r="F220" s="245"/>
      <c r="G220" s="246">
        <v>40.406607369758575</v>
      </c>
      <c r="H220" s="246">
        <v>42.549143944197844</v>
      </c>
      <c r="I220" s="244">
        <v>5.3024411449173137E-2</v>
      </c>
      <c r="J220" s="244"/>
    </row>
    <row r="221" spans="2:10">
      <c r="C221" s="1" t="s">
        <v>40</v>
      </c>
      <c r="D221" s="245">
        <v>0.6816900179347043</v>
      </c>
      <c r="F221" s="245"/>
      <c r="G221" s="246">
        <v>108</v>
      </c>
      <c r="H221" s="246">
        <v>86</v>
      </c>
      <c r="I221" s="244">
        <v>-0.20370370370370372</v>
      </c>
      <c r="J221" s="244"/>
    </row>
    <row r="222" spans="2:10">
      <c r="C222" s="1" t="s">
        <v>41</v>
      </c>
      <c r="D222" s="245">
        <v>0.15742508218607237</v>
      </c>
      <c r="E222" s="1">
        <v>100</v>
      </c>
      <c r="F222" s="245">
        <v>0.87</v>
      </c>
      <c r="G222" s="246">
        <v>488</v>
      </c>
      <c r="H222" s="246">
        <v>419</v>
      </c>
      <c r="I222" s="244">
        <v>-0.14139344262295084</v>
      </c>
      <c r="J222" s="244">
        <v>-0.15259082862947826</v>
      </c>
    </row>
    <row r="223" spans="2:10">
      <c r="B223" s="1" t="s">
        <v>120</v>
      </c>
      <c r="C223" s="1" t="s">
        <v>39</v>
      </c>
      <c r="D223" s="245">
        <v>0.20618113441416147</v>
      </c>
      <c r="F223" s="245"/>
      <c r="G223" s="246">
        <v>35.085413929040733</v>
      </c>
      <c r="H223" s="246">
        <v>36.47675180091683</v>
      </c>
      <c r="I223" s="244">
        <v>3.9655734850101432E-2</v>
      </c>
      <c r="J223" s="244"/>
    </row>
    <row r="224" spans="2:10">
      <c r="C224" s="1" t="s">
        <v>85</v>
      </c>
      <c r="D224" s="245">
        <v>1.0196599356478914E-3</v>
      </c>
      <c r="F224" s="245"/>
      <c r="G224" s="246">
        <v>40.07884362680683</v>
      </c>
      <c r="H224" s="246">
        <v>39.947609692206939</v>
      </c>
      <c r="I224" s="244">
        <v>-3.2743942370661028E-3</v>
      </c>
      <c r="J224" s="244"/>
    </row>
    <row r="225" spans="2:10">
      <c r="C225" s="1" t="s">
        <v>40</v>
      </c>
      <c r="D225" s="245">
        <v>0.60388867107453803</v>
      </c>
      <c r="F225" s="245"/>
      <c r="G225" s="246">
        <v>126</v>
      </c>
      <c r="H225" s="246">
        <v>103</v>
      </c>
      <c r="I225" s="244">
        <v>-0.18253968253968256</v>
      </c>
      <c r="J225" s="244"/>
    </row>
    <row r="226" spans="2:10">
      <c r="C226" s="1" t="s">
        <v>41</v>
      </c>
      <c r="D226" s="245">
        <v>0.1889105345756526</v>
      </c>
      <c r="E226" s="1">
        <v>100</v>
      </c>
      <c r="F226" s="245">
        <v>0.49890000000000001</v>
      </c>
      <c r="G226" s="246">
        <v>476</v>
      </c>
      <c r="H226" s="246">
        <v>405</v>
      </c>
      <c r="I226" s="244">
        <v>-0.14915966386554624</v>
      </c>
      <c r="J226" s="244">
        <v>-0.13023855251641789</v>
      </c>
    </row>
    <row r="227" spans="2:10">
      <c r="B227" s="1" t="s">
        <v>121</v>
      </c>
      <c r="C227" s="1" t="s">
        <v>39</v>
      </c>
      <c r="D227" s="245">
        <v>0.27789893291423323</v>
      </c>
      <c r="F227" s="245"/>
      <c r="G227" s="246">
        <v>51.202079272254707</v>
      </c>
      <c r="H227" s="246">
        <v>51.885565669700917</v>
      </c>
      <c r="I227" s="244">
        <v>1.3348801594793347E-2</v>
      </c>
      <c r="J227" s="244"/>
    </row>
    <row r="228" spans="2:10">
      <c r="C228" s="1" t="s">
        <v>85</v>
      </c>
      <c r="D228" s="245">
        <v>1.559009735122965E-3</v>
      </c>
      <c r="F228" s="245"/>
      <c r="G228" s="246">
        <v>52.241715399610129</v>
      </c>
      <c r="H228" s="246">
        <v>52.730819245773731</v>
      </c>
      <c r="I228" s="244">
        <v>9.3623236224600337E-3</v>
      </c>
      <c r="J228" s="244"/>
    </row>
    <row r="229" spans="2:10">
      <c r="C229" s="1" t="s">
        <v>40</v>
      </c>
      <c r="D229" s="245">
        <v>0.63679559779104711</v>
      </c>
      <c r="F229" s="245"/>
      <c r="G229" s="246">
        <v>194</v>
      </c>
      <c r="H229" s="246">
        <v>176</v>
      </c>
      <c r="I229" s="244">
        <v>-9.2783505154639179E-2</v>
      </c>
      <c r="J229" s="244"/>
    </row>
    <row r="230" spans="2:10">
      <c r="C230" s="1" t="s">
        <v>41</v>
      </c>
      <c r="D230" s="245">
        <v>8.3746459559596712E-2</v>
      </c>
      <c r="E230" s="1">
        <v>100</v>
      </c>
      <c r="F230" s="245">
        <v>0.98</v>
      </c>
      <c r="G230" s="246">
        <v>426</v>
      </c>
      <c r="H230" s="246">
        <v>356</v>
      </c>
      <c r="I230" s="244">
        <v>-0.16431924882629112</v>
      </c>
      <c r="J230" s="244">
        <v>-6.9121069284243775E-2</v>
      </c>
    </row>
    <row r="231" spans="2:10">
      <c r="B231" s="1" t="s">
        <v>122</v>
      </c>
      <c r="C231" s="1" t="s">
        <v>39</v>
      </c>
      <c r="D231" s="245">
        <v>0.21701742269811847</v>
      </c>
      <c r="F231" s="245"/>
      <c r="G231" s="246">
        <v>50.760719225449513</v>
      </c>
      <c r="H231" s="246">
        <v>53.73443983402489</v>
      </c>
      <c r="I231" s="244">
        <v>5.8583106267029894E-2</v>
      </c>
      <c r="J231" s="244"/>
    </row>
    <row r="232" spans="2:10">
      <c r="C232" s="1" t="s">
        <v>85</v>
      </c>
      <c r="D232" s="245">
        <v>4.0526698449674915E-2</v>
      </c>
      <c r="F232" s="245"/>
      <c r="G232" s="246">
        <v>87.067773167358226</v>
      </c>
      <c r="H232" s="246">
        <v>88.035961272475788</v>
      </c>
      <c r="I232" s="244">
        <v>1.1119936457505863E-2</v>
      </c>
      <c r="J232" s="244"/>
    </row>
    <row r="233" spans="2:10">
      <c r="C233" s="1" t="s">
        <v>40</v>
      </c>
      <c r="D233" s="245">
        <v>0.65164893193410767</v>
      </c>
      <c r="F233" s="245"/>
      <c r="G233" s="246">
        <v>167</v>
      </c>
      <c r="H233" s="246">
        <v>144</v>
      </c>
      <c r="I233" s="244">
        <v>-0.13772455089820357</v>
      </c>
      <c r="J233" s="244"/>
    </row>
    <row r="234" spans="2:10">
      <c r="C234" s="1" t="s">
        <v>41</v>
      </c>
      <c r="D234" s="245">
        <v>9.0806946918099027E-2</v>
      </c>
      <c r="E234" s="1">
        <v>100</v>
      </c>
      <c r="F234" s="245">
        <v>0.98</v>
      </c>
      <c r="G234" s="246">
        <v>513</v>
      </c>
      <c r="H234" s="246">
        <v>440</v>
      </c>
      <c r="I234" s="244">
        <v>-0.14230019493177393</v>
      </c>
      <c r="J234" s="244">
        <v>-8.9505693694210048E-2</v>
      </c>
    </row>
    <row r="235" spans="2:10">
      <c r="B235" s="1" t="s">
        <v>123</v>
      </c>
      <c r="C235" s="1" t="s">
        <v>39</v>
      </c>
      <c r="D235" s="245">
        <v>0.2523000050513764</v>
      </c>
      <c r="F235" s="245"/>
      <c r="G235" s="246">
        <v>75.311884438608018</v>
      </c>
      <c r="H235" s="246">
        <v>76.771653543307082</v>
      </c>
      <c r="I235" s="244">
        <v>1.938298471191513E-2</v>
      </c>
      <c r="J235" s="244"/>
    </row>
    <row r="236" spans="2:10">
      <c r="C236" s="1" t="s">
        <v>85</v>
      </c>
      <c r="D236" s="245">
        <v>6.3547288032781658E-3</v>
      </c>
      <c r="F236" s="245"/>
      <c r="G236" s="246">
        <v>75.311884438608018</v>
      </c>
      <c r="H236" s="246">
        <v>76.771653543307082</v>
      </c>
      <c r="I236" s="244">
        <v>1.938298471191513E-2</v>
      </c>
      <c r="J236" s="244"/>
    </row>
    <row r="237" spans="2:10">
      <c r="C237" s="1" t="s">
        <v>40</v>
      </c>
      <c r="D237" s="245">
        <v>0.56744327841604414</v>
      </c>
      <c r="F237" s="245"/>
      <c r="G237" s="246">
        <v>159</v>
      </c>
      <c r="H237" s="246">
        <v>135</v>
      </c>
      <c r="I237" s="244">
        <v>-0.15094339622641506</v>
      </c>
      <c r="J237" s="244"/>
    </row>
    <row r="238" spans="2:10">
      <c r="C238" s="1" t="s">
        <v>41</v>
      </c>
      <c r="D238" s="245">
        <v>0.1739019877293014</v>
      </c>
      <c r="E238" s="1">
        <v>100</v>
      </c>
      <c r="F238" s="245">
        <v>1</v>
      </c>
      <c r="G238" s="246">
        <v>476</v>
      </c>
      <c r="H238" s="246">
        <v>406</v>
      </c>
      <c r="I238" s="244">
        <v>-0.1470588235294118</v>
      </c>
      <c r="J238" s="244">
        <v>-0.10621213658289694</v>
      </c>
    </row>
    <row r="239" spans="2:10">
      <c r="B239" s="1" t="s">
        <v>124</v>
      </c>
      <c r="C239" s="1" t="s">
        <v>39</v>
      </c>
      <c r="D239" s="245">
        <v>0.2097703970649184</v>
      </c>
      <c r="F239" s="245"/>
      <c r="G239" s="246">
        <v>60.157273918741801</v>
      </c>
      <c r="H239" s="246">
        <v>61.79554390563564</v>
      </c>
      <c r="I239" s="244">
        <v>2.7233115468409563E-2</v>
      </c>
      <c r="J239" s="244"/>
    </row>
    <row r="240" spans="2:10">
      <c r="C240" s="1" t="s">
        <v>85</v>
      </c>
      <c r="D240" s="245">
        <v>2.2646668619586714E-2</v>
      </c>
      <c r="F240" s="245"/>
      <c r="G240" s="246">
        <v>108.06028833551767</v>
      </c>
      <c r="H240" s="246">
        <v>109.50196592398427</v>
      </c>
      <c r="I240" s="244">
        <v>1.3341419041843716E-2</v>
      </c>
      <c r="J240" s="244"/>
    </row>
    <row r="241" spans="2:10">
      <c r="C241" s="1" t="s">
        <v>40</v>
      </c>
      <c r="D241" s="245">
        <v>0.74724770228808812</v>
      </c>
      <c r="F241" s="245"/>
      <c r="G241" s="246">
        <v>132</v>
      </c>
      <c r="H241" s="246">
        <v>110</v>
      </c>
      <c r="I241" s="244">
        <v>-0.16666666666666663</v>
      </c>
      <c r="J241" s="244"/>
    </row>
    <row r="242" spans="2:10">
      <c r="C242" s="1" t="s">
        <v>41</v>
      </c>
      <c r="D242" s="245">
        <v>2.0335232027406697E-2</v>
      </c>
      <c r="E242" s="1">
        <v>100</v>
      </c>
      <c r="F242" s="245">
        <v>1</v>
      </c>
      <c r="G242" s="246">
        <v>483</v>
      </c>
      <c r="H242" s="246">
        <v>414</v>
      </c>
      <c r="I242" s="244">
        <v>-0.1428571428571429</v>
      </c>
      <c r="J242" s="244">
        <v>-0.12143147672037499</v>
      </c>
    </row>
    <row r="243" spans="2:10">
      <c r="B243" s="1" t="s">
        <v>127</v>
      </c>
      <c r="C243" s="1" t="s">
        <v>39</v>
      </c>
      <c r="D243" s="245">
        <v>0.12301356552302616</v>
      </c>
      <c r="F243" s="245"/>
      <c r="G243" s="246">
        <v>131.25428375599725</v>
      </c>
      <c r="H243" s="246">
        <v>133.08115543328748</v>
      </c>
      <c r="I243" s="244">
        <v>1.3918568026978884E-2</v>
      </c>
      <c r="J243" s="244"/>
    </row>
    <row r="244" spans="2:10">
      <c r="C244" s="1" t="s">
        <v>85</v>
      </c>
      <c r="D244" s="245">
        <v>0.32242701272570884</v>
      </c>
      <c r="F244" s="245"/>
      <c r="G244" s="246">
        <v>147.01850582590814</v>
      </c>
      <c r="H244" s="246">
        <v>154.74552957359009</v>
      </c>
      <c r="I244" s="244">
        <v>5.2558170852531338E-2</v>
      </c>
      <c r="J244" s="244"/>
    </row>
    <row r="245" spans="2:10">
      <c r="C245" s="1" t="s">
        <v>40</v>
      </c>
      <c r="D245" s="245">
        <v>0.54656852580080451</v>
      </c>
      <c r="F245" s="245"/>
      <c r="G245" s="246">
        <v>771</v>
      </c>
      <c r="H245" s="246">
        <v>669</v>
      </c>
      <c r="I245" s="244">
        <v>-0.13229571984435795</v>
      </c>
      <c r="J245" s="244">
        <v>-5.3650329862804401E-2</v>
      </c>
    </row>
    <row r="246" spans="2:10">
      <c r="B246" s="1" t="s">
        <v>128</v>
      </c>
      <c r="C246" s="1" t="s">
        <v>39</v>
      </c>
      <c r="D246" s="245">
        <v>0.10681960289000998</v>
      </c>
      <c r="F246" s="245"/>
      <c r="G246" s="246">
        <v>127.96852646638054</v>
      </c>
      <c r="H246" s="246">
        <v>129.90654205607476</v>
      </c>
      <c r="I246" s="244">
        <v>1.5144470622652451E-2</v>
      </c>
      <c r="J246" s="244"/>
    </row>
    <row r="247" spans="2:10">
      <c r="C247" s="1" t="s">
        <v>85</v>
      </c>
      <c r="D247" s="245">
        <v>8.8518156077535104E-2</v>
      </c>
      <c r="F247" s="245"/>
      <c r="G247" s="246">
        <v>153.14735336194562</v>
      </c>
      <c r="H247" s="246">
        <v>161.53846153846152</v>
      </c>
      <c r="I247" s="244">
        <v>5.4791075342219608E-2</v>
      </c>
      <c r="J247" s="244"/>
    </row>
    <row r="248" spans="2:10">
      <c r="C248" s="1" t="s">
        <v>40</v>
      </c>
      <c r="D248" s="245">
        <v>0.7842927636501188</v>
      </c>
      <c r="F248" s="245"/>
      <c r="G248" s="246">
        <v>1131</v>
      </c>
      <c r="H248" s="246">
        <v>994</v>
      </c>
      <c r="I248" s="244">
        <v>-0.12113174182139697</v>
      </c>
      <c r="J248" s="244">
        <v>-8.8535017262166366E-2</v>
      </c>
    </row>
    <row r="249" spans="2:10">
      <c r="B249" s="1" t="s">
        <v>129</v>
      </c>
      <c r="C249" s="1" t="s">
        <v>39</v>
      </c>
      <c r="D249" s="245">
        <v>1.5267841269386547E-2</v>
      </c>
      <c r="F249" s="245"/>
      <c r="G249" s="246">
        <v>140.40616246498598</v>
      </c>
      <c r="H249" s="246">
        <v>142.44553759662682</v>
      </c>
      <c r="I249" s="244">
        <v>1.4524826373980559E-2</v>
      </c>
      <c r="J249" s="244"/>
    </row>
    <row r="250" spans="2:10">
      <c r="C250" s="1" t="s">
        <v>85</v>
      </c>
      <c r="D250" s="245">
        <v>0.27232603187790105</v>
      </c>
      <c r="F250" s="245"/>
      <c r="G250" s="246">
        <v>156.23249299719885</v>
      </c>
      <c r="H250" s="246">
        <v>164.37104708362614</v>
      </c>
      <c r="I250" s="244">
        <v>5.209258285709617E-2</v>
      </c>
      <c r="J250" s="244"/>
    </row>
    <row r="251" spans="2:10">
      <c r="C251" s="1" t="s">
        <v>40</v>
      </c>
      <c r="D251" s="245">
        <v>0.7044237180886066</v>
      </c>
      <c r="F251" s="245"/>
      <c r="G251" s="246">
        <v>1215</v>
      </c>
      <c r="H251" s="246">
        <v>1109</v>
      </c>
      <c r="I251" s="244">
        <v>-8.7242798353909468E-2</v>
      </c>
      <c r="J251" s="244">
        <v>-4.7047967269628364E-2</v>
      </c>
    </row>
    <row r="252" spans="2:10">
      <c r="B252" s="1" t="s">
        <v>130</v>
      </c>
      <c r="C252" s="1" t="s">
        <v>39</v>
      </c>
      <c r="D252" s="245">
        <v>0.42797774998772709</v>
      </c>
      <c r="F252" s="245"/>
      <c r="G252" s="246">
        <v>119.05710491367861</v>
      </c>
      <c r="H252" s="246">
        <v>120.65289806795468</v>
      </c>
      <c r="I252" s="244">
        <v>1.3403594480422498E-2</v>
      </c>
      <c r="J252" s="244"/>
    </row>
    <row r="253" spans="2:10">
      <c r="C253" s="1" t="s">
        <v>85</v>
      </c>
      <c r="D253" s="245">
        <v>0.24257244027284139</v>
      </c>
      <c r="F253" s="245"/>
      <c r="G253" s="246">
        <v>145.48472775564409</v>
      </c>
      <c r="H253" s="246">
        <v>153.09793471019319</v>
      </c>
      <c r="I253" s="244">
        <v>5.2329939176407825E-2</v>
      </c>
      <c r="J253" s="244"/>
    </row>
    <row r="254" spans="2:10">
      <c r="C254" s="1" t="s">
        <v>40</v>
      </c>
      <c r="D254" s="245">
        <v>0.32797944047150701</v>
      </c>
      <c r="F254" s="245"/>
      <c r="G254" s="246">
        <v>606</v>
      </c>
      <c r="H254" s="246">
        <v>491</v>
      </c>
      <c r="I254" s="244">
        <v>-0.18976897689768979</v>
      </c>
      <c r="J254" s="244">
        <v>-4.381008160892489E-2</v>
      </c>
    </row>
    <row r="255" spans="2:10">
      <c r="B255" s="1" t="s">
        <v>131</v>
      </c>
      <c r="C255" s="1" t="s">
        <v>39</v>
      </c>
      <c r="D255" s="245">
        <v>0.27782574179684993</v>
      </c>
      <c r="F255" s="245"/>
      <c r="G255" s="246">
        <v>121.80251822398938</v>
      </c>
      <c r="H255" s="246">
        <v>123.56857523302263</v>
      </c>
      <c r="I255" s="244">
        <v>1.449934726132307E-2</v>
      </c>
      <c r="J255" s="244"/>
    </row>
    <row r="256" spans="2:10">
      <c r="C256" s="1" t="s">
        <v>85</v>
      </c>
      <c r="D256" s="245">
        <v>0.37122347623522783</v>
      </c>
      <c r="F256" s="245"/>
      <c r="G256" s="246">
        <v>142.41219350563284</v>
      </c>
      <c r="H256" s="246">
        <v>150.06657789613848</v>
      </c>
      <c r="I256" s="244">
        <v>5.3748096999874484E-2</v>
      </c>
      <c r="J256" s="244"/>
    </row>
    <row r="257" spans="2:10">
      <c r="C257" s="1" t="s">
        <v>40</v>
      </c>
      <c r="D257" s="245">
        <v>0.32547122187807803</v>
      </c>
      <c r="F257" s="245"/>
      <c r="G257" s="246">
        <v>688</v>
      </c>
      <c r="H257" s="246">
        <v>581</v>
      </c>
      <c r="I257" s="244">
        <v>-0.15552325581395354</v>
      </c>
      <c r="J257" s="244">
        <v>-2.6637496782455534E-2</v>
      </c>
    </row>
    <row r="258" spans="2:10">
      <c r="B258" s="1" t="s">
        <v>132</v>
      </c>
      <c r="C258" s="1" t="s">
        <v>39</v>
      </c>
      <c r="D258" s="245">
        <v>0.29849270755045382</v>
      </c>
      <c r="F258" s="245"/>
      <c r="G258" s="246">
        <v>131.5134761575674</v>
      </c>
      <c r="H258" s="246">
        <v>133.17174515235456</v>
      </c>
      <c r="I258" s="244">
        <v>1.2609118420688459E-2</v>
      </c>
      <c r="J258" s="244"/>
    </row>
    <row r="259" spans="2:10">
      <c r="C259" s="1" t="s">
        <v>85</v>
      </c>
      <c r="D259" s="245">
        <v>0.41310354673172983</v>
      </c>
      <c r="F259" s="245"/>
      <c r="G259" s="246">
        <v>149.4125777470629</v>
      </c>
      <c r="H259" s="246">
        <v>157.06371191135733</v>
      </c>
      <c r="I259" s="244">
        <v>5.1208099610240643E-2</v>
      </c>
      <c r="J259" s="244"/>
    </row>
    <row r="260" spans="2:10">
      <c r="C260" s="1" t="s">
        <v>40</v>
      </c>
      <c r="D260" s="245">
        <v>0.28300158640584167</v>
      </c>
      <c r="F260" s="245"/>
      <c r="G260" s="246">
        <v>637</v>
      </c>
      <c r="H260" s="246">
        <v>532</v>
      </c>
      <c r="I260" s="244">
        <v>-0.1648351648351648</v>
      </c>
      <c r="J260" s="244">
        <v>-2.1730635676222323E-2</v>
      </c>
    </row>
    <row r="261" spans="2:10">
      <c r="B261" s="1" t="s">
        <v>133</v>
      </c>
      <c r="C261" s="1" t="s">
        <v>39</v>
      </c>
      <c r="D261" s="245">
        <v>0.33013057299480308</v>
      </c>
      <c r="F261" s="245"/>
      <c r="G261" s="246">
        <v>111.88524590163934</v>
      </c>
      <c r="H261" s="246">
        <v>113.29677861549007</v>
      </c>
      <c r="I261" s="244">
        <v>1.2615896783134684E-2</v>
      </c>
      <c r="J261" s="244"/>
    </row>
    <row r="262" spans="2:10">
      <c r="C262" s="1" t="s">
        <v>85</v>
      </c>
      <c r="D262" s="245">
        <v>6.0115222065348119E-2</v>
      </c>
      <c r="F262" s="245"/>
      <c r="G262" s="246">
        <v>140.23224043715848</v>
      </c>
      <c r="H262" s="246">
        <v>147.77244688142562</v>
      </c>
      <c r="I262" s="244">
        <v>5.3769421502226411E-2</v>
      </c>
      <c r="J262" s="244"/>
    </row>
    <row r="263" spans="2:10">
      <c r="C263" s="1" t="s">
        <v>40</v>
      </c>
      <c r="D263" s="245">
        <v>0.60391150808205218</v>
      </c>
      <c r="F263" s="245"/>
      <c r="G263" s="246">
        <v>591</v>
      </c>
      <c r="H263" s="246">
        <v>491</v>
      </c>
      <c r="I263" s="244">
        <v>-0.16920473773265654</v>
      </c>
      <c r="J263" s="244">
        <v>-9.4787434390965541E-2</v>
      </c>
    </row>
    <row r="264" spans="2:10">
      <c r="B264" s="1" t="s">
        <v>134</v>
      </c>
      <c r="C264" s="1" t="s">
        <v>39</v>
      </c>
      <c r="D264" s="245">
        <v>0.19137427816916847</v>
      </c>
      <c r="F264" s="245"/>
      <c r="G264" s="246">
        <v>127.66407904022583</v>
      </c>
      <c r="H264" s="246">
        <v>129.39093484419263</v>
      </c>
      <c r="I264" s="244">
        <v>1.3526559835383978E-2</v>
      </c>
      <c r="J264" s="244"/>
    </row>
    <row r="265" spans="2:10">
      <c r="C265" s="1" t="s">
        <v>85</v>
      </c>
      <c r="D265" s="245">
        <v>0.19272494795937181</v>
      </c>
      <c r="F265" s="245"/>
      <c r="G265" s="246">
        <v>152.64643613267467</v>
      </c>
      <c r="H265" s="246">
        <v>160.69405099150143</v>
      </c>
      <c r="I265" s="244">
        <v>5.2720620688661679E-2</v>
      </c>
      <c r="J265" s="244"/>
    </row>
    <row r="266" spans="2:10">
      <c r="C266" s="1" t="s">
        <v>40</v>
      </c>
      <c r="D266" s="245">
        <v>0.61141085763320824</v>
      </c>
      <c r="F266" s="245"/>
      <c r="G266" s="246">
        <v>733</v>
      </c>
      <c r="H266" s="246">
        <v>626</v>
      </c>
      <c r="I266" s="244">
        <v>-0.14597544338335611</v>
      </c>
      <c r="J266" s="244">
        <v>-7.6501756529188808E-2</v>
      </c>
    </row>
    <row r="267" spans="2:10">
      <c r="B267" s="1" t="s">
        <v>135</v>
      </c>
      <c r="C267" s="1" t="s">
        <v>39</v>
      </c>
      <c r="D267" s="245">
        <v>0.74924787138021187</v>
      </c>
      <c r="F267" s="245"/>
      <c r="G267" s="246">
        <v>115</v>
      </c>
      <c r="H267" s="246">
        <v>115</v>
      </c>
      <c r="I267" s="244">
        <v>0</v>
      </c>
      <c r="J267" s="244"/>
    </row>
    <row r="268" spans="2:10">
      <c r="C268" s="1" t="s">
        <v>85</v>
      </c>
      <c r="D268" s="245">
        <v>3.2446165435970238E-2</v>
      </c>
      <c r="F268" s="245"/>
      <c r="G268" s="246">
        <v>172.76720351390924</v>
      </c>
      <c r="H268" s="246">
        <v>180.56975894813732</v>
      </c>
      <c r="I268" s="244">
        <v>4.5162248826930318E-2</v>
      </c>
      <c r="J268" s="244"/>
    </row>
    <row r="269" spans="2:10">
      <c r="C269" s="1" t="s">
        <v>40</v>
      </c>
      <c r="D269" s="245">
        <v>0.18219245404110501</v>
      </c>
      <c r="F269" s="245"/>
      <c r="G269" s="246">
        <v>739</v>
      </c>
      <c r="H269" s="246">
        <v>636</v>
      </c>
      <c r="I269" s="244">
        <v>-0.13937753721244928</v>
      </c>
      <c r="J269" s="244">
        <v>-2.3928193746042534E-2</v>
      </c>
    </row>
    <row r="270" spans="2:10">
      <c r="B270" s="1" t="s">
        <v>136</v>
      </c>
      <c r="C270" s="1" t="s">
        <v>39</v>
      </c>
      <c r="D270" s="245">
        <v>0.60616218796430088</v>
      </c>
      <c r="F270" s="245"/>
      <c r="G270" s="246">
        <v>96.530187369882029</v>
      </c>
      <c r="H270" s="246">
        <v>96.890117484450585</v>
      </c>
      <c r="I270" s="244">
        <v>3.7286793320869815E-3</v>
      </c>
      <c r="J270" s="244"/>
    </row>
    <row r="271" spans="2:10">
      <c r="C271" s="1" t="s">
        <v>85</v>
      </c>
      <c r="D271" s="245">
        <v>2.5731684694678934E-2</v>
      </c>
      <c r="F271" s="245"/>
      <c r="G271" s="246">
        <v>161.69326856349758</v>
      </c>
      <c r="H271" s="246">
        <v>168.69384934346925</v>
      </c>
      <c r="I271" s="244">
        <v>4.3295437355962196E-2</v>
      </c>
      <c r="J271" s="244"/>
    </row>
    <row r="272" spans="2:10">
      <c r="C272" s="1" t="s">
        <v>40</v>
      </c>
      <c r="D272" s="245">
        <v>0.35097487648983205</v>
      </c>
      <c r="F272" s="245"/>
      <c r="G272" s="246">
        <v>511</v>
      </c>
      <c r="H272" s="246">
        <v>408</v>
      </c>
      <c r="I272" s="244">
        <v>-0.20156555772994134</v>
      </c>
      <c r="J272" s="244">
        <v>-6.737019776395331E-2</v>
      </c>
    </row>
    <row r="273" spans="2:10">
      <c r="B273" s="1" t="s">
        <v>137</v>
      </c>
      <c r="C273" s="1" t="s">
        <v>39</v>
      </c>
      <c r="D273" s="245">
        <v>0.4739005644492813</v>
      </c>
      <c r="F273" s="245"/>
      <c r="G273" s="246">
        <v>119.46666666666668</v>
      </c>
      <c r="H273" s="246">
        <v>121.1512717536814</v>
      </c>
      <c r="I273" s="244">
        <v>1.4101047045324E-2</v>
      </c>
      <c r="J273" s="244"/>
    </row>
    <row r="274" spans="2:10">
      <c r="C274" s="1" t="s">
        <v>85</v>
      </c>
      <c r="D274" s="245">
        <v>0.16943252453371374</v>
      </c>
      <c r="F274" s="245"/>
      <c r="G274" s="246">
        <v>144.66666666666666</v>
      </c>
      <c r="H274" s="246">
        <v>152.34270414993307</v>
      </c>
      <c r="I274" s="244">
        <v>5.3060166935021247E-2</v>
      </c>
      <c r="J274" s="244"/>
    </row>
    <row r="275" spans="2:10">
      <c r="C275" s="1" t="s">
        <v>40</v>
      </c>
      <c r="D275" s="245">
        <v>0.35092937711339545</v>
      </c>
      <c r="F275" s="245"/>
      <c r="G275" s="246">
        <v>662</v>
      </c>
      <c r="H275" s="246">
        <v>592</v>
      </c>
      <c r="I275" s="244">
        <v>-0.10574018126888218</v>
      </c>
      <c r="J275" s="244">
        <v>-2.1434723758460502E-2</v>
      </c>
    </row>
    <row r="276" spans="2:10">
      <c r="B276" s="1" t="s">
        <v>140</v>
      </c>
      <c r="C276" s="1" t="s">
        <v>39</v>
      </c>
      <c r="D276" s="245">
        <v>0.50175747540712168</v>
      </c>
      <c r="F276" s="245"/>
      <c r="G276" s="246">
        <v>113.5450421257291</v>
      </c>
      <c r="H276" s="246">
        <v>118.08093994778068</v>
      </c>
      <c r="I276" s="244">
        <v>3.9948004220465627E-2</v>
      </c>
      <c r="J276" s="244"/>
    </row>
    <row r="277" spans="2:10">
      <c r="C277" s="1" t="s">
        <v>85</v>
      </c>
      <c r="D277" s="245">
        <v>8.4140289447175873E-2</v>
      </c>
      <c r="F277" s="245"/>
      <c r="G277" s="246">
        <v>113.60985093972782</v>
      </c>
      <c r="H277" s="246">
        <v>119.90861618798957</v>
      </c>
      <c r="I277" s="244">
        <v>5.5442069469868072E-2</v>
      </c>
      <c r="J277" s="244"/>
    </row>
    <row r="278" spans="2:10">
      <c r="C278" s="1" t="s">
        <v>40</v>
      </c>
      <c r="D278" s="245">
        <v>0.4083584506029081</v>
      </c>
      <c r="F278" s="245"/>
      <c r="G278" s="246">
        <v>339</v>
      </c>
      <c r="H278" s="246">
        <v>327</v>
      </c>
      <c r="I278" s="244">
        <v>-3.539823008849563E-2</v>
      </c>
      <c r="J278" s="244">
        <v>1.0253955124935689E-2</v>
      </c>
    </row>
    <row r="279" spans="2:10">
      <c r="B279" s="1" t="s">
        <v>141</v>
      </c>
      <c r="C279" s="1" t="s">
        <v>39</v>
      </c>
      <c r="D279" s="245">
        <v>0.86877058179975952</v>
      </c>
      <c r="F279" s="245"/>
      <c r="G279" s="246">
        <v>97.990622906898878</v>
      </c>
      <c r="H279" s="246">
        <v>101</v>
      </c>
      <c r="I279" s="244">
        <v>3.0710868079288911E-2</v>
      </c>
      <c r="J279" s="244"/>
    </row>
    <row r="280" spans="2:10">
      <c r="C280" s="1" t="s">
        <v>85</v>
      </c>
      <c r="D280" s="245">
        <v>4.219620764239871E-2</v>
      </c>
      <c r="F280" s="245"/>
      <c r="G280" s="246">
        <v>132.21701272605492</v>
      </c>
      <c r="H280" s="246">
        <v>137.46666666666667</v>
      </c>
      <c r="I280" s="244">
        <v>3.970482944951037E-2</v>
      </c>
      <c r="J280" s="244"/>
    </row>
    <row r="281" spans="2:10">
      <c r="C281" s="1" t="s">
        <v>40</v>
      </c>
      <c r="D281" s="245">
        <v>8.8888311307238788E-2</v>
      </c>
      <c r="F281" s="245"/>
      <c r="G281" s="246">
        <v>298</v>
      </c>
      <c r="H281" s="246">
        <v>282</v>
      </c>
      <c r="I281" s="244">
        <v>-5.3691275167785268E-2</v>
      </c>
      <c r="J281" s="244">
        <v>0</v>
      </c>
    </row>
    <row r="282" spans="2:10">
      <c r="B282" s="1" t="s">
        <v>143</v>
      </c>
      <c r="C282" s="1" t="s">
        <v>39</v>
      </c>
      <c r="D282" s="245">
        <v>0.57227380646940007</v>
      </c>
      <c r="F282" s="245"/>
      <c r="G282" s="246">
        <v>127.13972201901976</v>
      </c>
      <c r="H282" s="246">
        <v>132.57852447041637</v>
      </c>
      <c r="I282" s="244">
        <v>4.2778152767889432E-2</v>
      </c>
      <c r="J282" s="244"/>
    </row>
    <row r="283" spans="2:10">
      <c r="C283" s="1" t="s">
        <v>85</v>
      </c>
      <c r="D283" s="245">
        <v>6.2836734781014369E-2</v>
      </c>
      <c r="F283" s="245"/>
      <c r="G283" s="246">
        <v>127.13972201901976</v>
      </c>
      <c r="H283" s="246">
        <v>132.57852447041637</v>
      </c>
      <c r="I283" s="244">
        <v>4.2778152767889432E-2</v>
      </c>
      <c r="J283" s="244"/>
    </row>
    <row r="284" spans="2:10">
      <c r="C284" s="1" t="s">
        <v>40</v>
      </c>
      <c r="D284" s="245">
        <v>0.36109136295994071</v>
      </c>
      <c r="F284" s="245"/>
      <c r="G284" s="246">
        <v>303</v>
      </c>
      <c r="H284" s="246">
        <v>281</v>
      </c>
      <c r="I284" s="244">
        <v>-7.2607260726072598E-2</v>
      </c>
      <c r="J284" s="244">
        <v>9.5100102174184437E-4</v>
      </c>
    </row>
    <row r="285" spans="2:10">
      <c r="B285" s="1" t="s">
        <v>144</v>
      </c>
      <c r="C285" s="1" t="s">
        <v>39</v>
      </c>
      <c r="D285" s="245">
        <v>0.45147375117326849</v>
      </c>
      <c r="F285" s="245"/>
      <c r="G285" s="246">
        <v>105.359565807327</v>
      </c>
      <c r="H285" s="246">
        <v>108.69565217391305</v>
      </c>
      <c r="I285" s="244">
        <v>3.1663820375710472E-2</v>
      </c>
      <c r="J285" s="244"/>
    </row>
    <row r="286" spans="2:10">
      <c r="C286" s="1" t="s">
        <v>85</v>
      </c>
      <c r="D286" s="245">
        <v>0.1547936795482916</v>
      </c>
      <c r="F286" s="245"/>
      <c r="G286" s="246">
        <v>105.69877883310718</v>
      </c>
      <c r="H286" s="246">
        <v>111.27717391304347</v>
      </c>
      <c r="I286" s="244">
        <v>5.2776343695931205E-2</v>
      </c>
      <c r="J286" s="244"/>
    </row>
    <row r="287" spans="2:10">
      <c r="C287" s="1" t="s">
        <v>40</v>
      </c>
      <c r="D287" s="245">
        <v>0.37972619993162959</v>
      </c>
      <c r="F287" s="245"/>
      <c r="G287" s="246">
        <v>457</v>
      </c>
      <c r="H287" s="246">
        <v>440</v>
      </c>
      <c r="I287" s="244">
        <v>-3.7199124726477018E-2</v>
      </c>
      <c r="J287" s="244">
        <v>8.3393459221292147E-3</v>
      </c>
    </row>
    <row r="288" spans="2:10">
      <c r="B288" s="1" t="s">
        <v>145</v>
      </c>
      <c r="C288" s="1" t="s">
        <v>39</v>
      </c>
      <c r="D288" s="245">
        <v>0.51294584996616643</v>
      </c>
      <c r="F288" s="245"/>
      <c r="G288" s="246">
        <v>121.06325706594883</v>
      </c>
      <c r="H288" s="246">
        <v>122.21471978392978</v>
      </c>
      <c r="I288" s="244">
        <v>9.511248465367883E-3</v>
      </c>
      <c r="J288" s="244"/>
    </row>
    <row r="289" spans="2:10">
      <c r="C289" s="1" t="s">
        <v>85</v>
      </c>
      <c r="D289" s="245">
        <v>9.704275871820231E-2</v>
      </c>
      <c r="F289" s="245"/>
      <c r="G289" s="246">
        <v>121.06325706594883</v>
      </c>
      <c r="H289" s="246">
        <v>126.26603646185009</v>
      </c>
      <c r="I289" s="244">
        <v>4.2975709740462831E-2</v>
      </c>
      <c r="J289" s="244"/>
    </row>
    <row r="290" spans="2:10">
      <c r="C290" s="1" t="s">
        <v>40</v>
      </c>
      <c r="D290" s="245">
        <v>0.38293726797607236</v>
      </c>
      <c r="F290" s="245"/>
      <c r="G290" s="246">
        <v>360</v>
      </c>
      <c r="H290" s="246">
        <v>341</v>
      </c>
      <c r="I290" s="244">
        <v>-5.2777777777777812E-2</v>
      </c>
      <c r="J290" s="244">
        <v>-1.1161341172675743E-2</v>
      </c>
    </row>
    <row r="291" spans="2:10">
      <c r="B291" s="1" t="s">
        <v>146</v>
      </c>
      <c r="C291" s="1" t="s">
        <v>39</v>
      </c>
      <c r="D291" s="245">
        <v>0.72625706575151316</v>
      </c>
      <c r="F291" s="245"/>
      <c r="G291" s="246">
        <v>69.603825136612016</v>
      </c>
      <c r="H291" s="246">
        <v>72.515421521590127</v>
      </c>
      <c r="I291" s="244">
        <v>4.1830982410284046E-2</v>
      </c>
      <c r="J291" s="244"/>
    </row>
    <row r="292" spans="2:10">
      <c r="C292" s="1" t="s">
        <v>85</v>
      </c>
      <c r="D292" s="245">
        <v>3.1015535447843193E-2</v>
      </c>
      <c r="F292" s="245"/>
      <c r="G292" s="246">
        <v>91.051912568306008</v>
      </c>
      <c r="H292" s="246">
        <v>96.572995202193283</v>
      </c>
      <c r="I292" s="244">
        <v>6.063664648170275E-2</v>
      </c>
      <c r="J292" s="244"/>
    </row>
    <row r="293" spans="2:10">
      <c r="C293" s="1" t="s">
        <v>40</v>
      </c>
      <c r="D293" s="245">
        <v>0.21723276118076923</v>
      </c>
      <c r="F293" s="245"/>
      <c r="G293" s="246">
        <v>466</v>
      </c>
      <c r="H293" s="246">
        <v>450</v>
      </c>
      <c r="I293" s="244">
        <v>-3.4334763948497882E-2</v>
      </c>
      <c r="J293" s="244"/>
    </row>
    <row r="294" spans="2:10">
      <c r="C294" s="1" t="s">
        <v>41</v>
      </c>
      <c r="D294" s="245">
        <v>2.5494637619874399E-2</v>
      </c>
      <c r="E294" s="1">
        <v>100</v>
      </c>
      <c r="F294" s="245">
        <v>1</v>
      </c>
      <c r="G294" s="246">
        <v>620</v>
      </c>
      <c r="H294" s="246">
        <v>469</v>
      </c>
      <c r="I294" s="244">
        <v>-0.24354838709677418</v>
      </c>
      <c r="J294" s="244">
        <v>1.8592911152228362E-2</v>
      </c>
    </row>
    <row r="295" spans="2:10">
      <c r="B295" s="1" t="s">
        <v>147</v>
      </c>
      <c r="C295" s="1" t="s">
        <v>39</v>
      </c>
      <c r="D295" s="245">
        <v>0.19144539324909107</v>
      </c>
      <c r="F295" s="245"/>
      <c r="G295" s="246">
        <v>134.40712816997944</v>
      </c>
      <c r="H295" s="246">
        <v>139.421088904204</v>
      </c>
      <c r="I295" s="244">
        <v>3.7304276956826143E-2</v>
      </c>
      <c r="J295" s="244"/>
    </row>
    <row r="296" spans="2:10">
      <c r="C296" s="1" t="s">
        <v>85</v>
      </c>
      <c r="D296" s="245">
        <v>0.43635711990630688</v>
      </c>
      <c r="F296" s="245"/>
      <c r="G296" s="246">
        <v>134.40712816997944</v>
      </c>
      <c r="H296" s="246">
        <v>139.421088904204</v>
      </c>
      <c r="I296" s="244">
        <v>3.7304276956826143E-2</v>
      </c>
      <c r="J296" s="244"/>
    </row>
    <row r="297" spans="2:10">
      <c r="C297" s="1" t="s">
        <v>40</v>
      </c>
      <c r="D297" s="245">
        <v>0.36381181190620598</v>
      </c>
      <c r="F297" s="245"/>
      <c r="G297" s="246">
        <v>402</v>
      </c>
      <c r="H297" s="246">
        <v>389</v>
      </c>
      <c r="I297" s="244">
        <v>-3.2338308457711462E-2</v>
      </c>
      <c r="J297" s="244">
        <v>1.1654660230958663E-2</v>
      </c>
    </row>
    <row r="298" spans="2:10">
      <c r="B298" s="1" t="s">
        <v>148</v>
      </c>
      <c r="C298" s="1" t="s">
        <v>39</v>
      </c>
      <c r="D298" s="245">
        <v>0.4804158782543772</v>
      </c>
      <c r="F298" s="245"/>
      <c r="G298" s="246">
        <v>125.45582047685835</v>
      </c>
      <c r="H298" s="246">
        <v>130.43785310734461</v>
      </c>
      <c r="I298" s="244">
        <v>3.971145070471449E-2</v>
      </c>
      <c r="J298" s="244"/>
    </row>
    <row r="299" spans="2:10">
      <c r="C299" s="1" t="s">
        <v>85</v>
      </c>
      <c r="D299" s="245">
        <v>0.21243976332978273</v>
      </c>
      <c r="F299" s="245"/>
      <c r="G299" s="246">
        <v>125.45582047685835</v>
      </c>
      <c r="H299" s="246">
        <v>131.35593220338984</v>
      </c>
      <c r="I299" s="244">
        <v>4.7029398110865817E-2</v>
      </c>
      <c r="J299" s="244"/>
    </row>
    <row r="300" spans="2:10">
      <c r="C300" s="1" t="s">
        <v>40</v>
      </c>
      <c r="D300" s="245">
        <v>0.30497784521333088</v>
      </c>
      <c r="F300" s="245"/>
      <c r="G300" s="246">
        <v>311</v>
      </c>
      <c r="H300" s="246">
        <v>293</v>
      </c>
      <c r="I300" s="244">
        <v>-5.7877813504823128E-2</v>
      </c>
      <c r="J300" s="244">
        <v>1.1417474822915306E-2</v>
      </c>
    </row>
    <row r="301" spans="2:10">
      <c r="B301" s="1" t="s">
        <v>149</v>
      </c>
      <c r="C301" s="1" t="s">
        <v>39</v>
      </c>
      <c r="D301" s="245">
        <v>0.64790290857309196</v>
      </c>
      <c r="F301" s="245"/>
      <c r="G301" s="246">
        <v>121.01998621640247</v>
      </c>
      <c r="H301" s="246">
        <v>125.18978605935128</v>
      </c>
      <c r="I301" s="244">
        <v>3.4455464533705626E-2</v>
      </c>
      <c r="J301" s="244"/>
    </row>
    <row r="302" spans="2:10">
      <c r="C302" s="1" t="s">
        <v>85</v>
      </c>
      <c r="D302" s="245">
        <v>7.2920138151321326E-2</v>
      </c>
      <c r="F302" s="245"/>
      <c r="G302" s="246">
        <v>124.53480358373535</v>
      </c>
      <c r="H302" s="246">
        <v>130.57280883367841</v>
      </c>
      <c r="I302" s="244">
        <v>4.8484480451949974E-2</v>
      </c>
      <c r="J302" s="244"/>
    </row>
    <row r="303" spans="2:10">
      <c r="C303" s="1" t="s">
        <v>40</v>
      </c>
      <c r="D303" s="245">
        <v>0.27763486668712184</v>
      </c>
      <c r="F303" s="245"/>
      <c r="G303" s="246">
        <v>283</v>
      </c>
      <c r="H303" s="246">
        <v>266</v>
      </c>
      <c r="I303" s="244">
        <v>-6.0070671378091856E-2</v>
      </c>
      <c r="J303" s="244">
        <v>9.1815778605136809E-3</v>
      </c>
    </row>
    <row r="304" spans="2:10">
      <c r="B304" s="1" t="s">
        <v>150</v>
      </c>
      <c r="C304" s="1" t="s">
        <v>39</v>
      </c>
      <c r="D304" s="245">
        <v>0.18390521725460174</v>
      </c>
      <c r="F304" s="245"/>
      <c r="G304" s="246">
        <v>133.28690807799444</v>
      </c>
      <c r="H304" s="246">
        <v>138.59649122807019</v>
      </c>
      <c r="I304" s="244">
        <v>3.9835744009972807E-2</v>
      </c>
      <c r="J304" s="244"/>
    </row>
    <row r="305" spans="2:10">
      <c r="C305" s="1" t="s">
        <v>85</v>
      </c>
      <c r="D305" s="245">
        <v>0.52538611648428268</v>
      </c>
      <c r="F305" s="245"/>
      <c r="G305" s="246">
        <v>133.28690807799444</v>
      </c>
      <c r="H305" s="246">
        <v>138.59649122807019</v>
      </c>
      <c r="I305" s="244">
        <v>3.9835744009972807E-2</v>
      </c>
      <c r="J305" s="244"/>
    </row>
    <row r="306" spans="2:10">
      <c r="C306" s="1" t="s">
        <v>40</v>
      </c>
      <c r="D306" s="245">
        <v>0.28014264915962078</v>
      </c>
      <c r="F306" s="245"/>
      <c r="G306" s="246">
        <v>412</v>
      </c>
      <c r="H306" s="246">
        <v>392</v>
      </c>
      <c r="I306" s="244">
        <v>-4.8543689320388328E-2</v>
      </c>
      <c r="J306" s="244">
        <v>1.4655990273119208E-2</v>
      </c>
    </row>
    <row r="307" spans="2:10">
      <c r="B307" s="1" t="s">
        <v>151</v>
      </c>
      <c r="C307" s="1" t="s">
        <v>39</v>
      </c>
      <c r="D307" s="245">
        <v>0.68128531691821059</v>
      </c>
      <c r="F307" s="245"/>
      <c r="G307" s="246">
        <v>95.368558382257007</v>
      </c>
      <c r="H307" s="246">
        <v>98.503578399479508</v>
      </c>
      <c r="I307" s="244">
        <v>3.2872679113557401E-2</v>
      </c>
      <c r="J307" s="244"/>
    </row>
    <row r="308" spans="2:10">
      <c r="C308" s="1" t="s">
        <v>85</v>
      </c>
      <c r="D308" s="245">
        <v>5.598553737724557E-2</v>
      </c>
      <c r="F308" s="245"/>
      <c r="G308" s="246">
        <v>99.934768427919124</v>
      </c>
      <c r="H308" s="246">
        <v>104.81457384515289</v>
      </c>
      <c r="I308" s="244">
        <v>4.8829906688115932E-2</v>
      </c>
      <c r="J308" s="244"/>
    </row>
    <row r="309" spans="2:10">
      <c r="C309" s="1" t="s">
        <v>40</v>
      </c>
      <c r="D309" s="245">
        <v>0.26097534885769702</v>
      </c>
      <c r="F309" s="245"/>
      <c r="G309" s="246">
        <v>248</v>
      </c>
      <c r="H309" s="246">
        <v>232</v>
      </c>
      <c r="I309" s="244">
        <v>-6.4516129032258118E-2</v>
      </c>
      <c r="J309" s="244">
        <v>8.2923228927037664E-3</v>
      </c>
    </row>
    <row r="310" spans="2:10">
      <c r="B310" s="1" t="s">
        <v>152</v>
      </c>
      <c r="C310" s="1" t="s">
        <v>39</v>
      </c>
      <c r="D310" s="245">
        <v>0.56896384920016774</v>
      </c>
      <c r="F310" s="245"/>
      <c r="G310" s="246">
        <v>112.43421052631579</v>
      </c>
      <c r="H310" s="246">
        <v>116.41397495056032</v>
      </c>
      <c r="I310" s="244">
        <v>3.5396383410483789E-2</v>
      </c>
      <c r="J310" s="244"/>
    </row>
    <row r="311" spans="2:10">
      <c r="C311" s="1" t="s">
        <v>85</v>
      </c>
      <c r="D311" s="245">
        <v>9.4452089776495551E-2</v>
      </c>
      <c r="F311" s="245"/>
      <c r="G311" s="246">
        <v>114.73684210526316</v>
      </c>
      <c r="H311" s="246">
        <v>120.50098879367172</v>
      </c>
      <c r="I311" s="244">
        <v>5.0237975724661821E-2</v>
      </c>
      <c r="J311" s="244"/>
    </row>
    <row r="312" spans="2:10">
      <c r="C312" s="1" t="s">
        <v>40</v>
      </c>
      <c r="D312" s="245">
        <v>0.33516822991421186</v>
      </c>
      <c r="F312" s="245"/>
      <c r="G312" s="246">
        <v>331</v>
      </c>
      <c r="H312" s="246">
        <v>314</v>
      </c>
      <c r="I312" s="244">
        <v>-5.1359516616314216E-2</v>
      </c>
      <c r="J312" s="244">
        <v>7.6702660727893945E-3</v>
      </c>
    </row>
    <row r="313" spans="2:10">
      <c r="B313" s="1" t="s">
        <v>153</v>
      </c>
      <c r="C313" s="1" t="s">
        <v>39</v>
      </c>
      <c r="D313" s="245">
        <v>0.43700378918422961</v>
      </c>
      <c r="F313" s="245"/>
      <c r="G313" s="246">
        <v>89.20719520319787</v>
      </c>
      <c r="H313" s="246">
        <v>92.410119840213056</v>
      </c>
      <c r="I313" s="244">
        <v>3.5904330695741615E-2</v>
      </c>
      <c r="J313" s="244"/>
    </row>
    <row r="314" spans="2:10">
      <c r="C314" s="1" t="s">
        <v>85</v>
      </c>
      <c r="D314" s="245">
        <v>0.15376059008510867</v>
      </c>
      <c r="F314" s="245"/>
      <c r="G314" s="246">
        <v>96.335776149233837</v>
      </c>
      <c r="H314" s="246">
        <v>101.4647137150466</v>
      </c>
      <c r="I314" s="244">
        <v>5.3240216364349724E-2</v>
      </c>
      <c r="J314" s="244"/>
    </row>
    <row r="315" spans="2:10">
      <c r="C315" s="1" t="s">
        <v>40</v>
      </c>
      <c r="D315" s="245">
        <v>0.34153580629057317</v>
      </c>
      <c r="F315" s="245"/>
      <c r="G315" s="246">
        <v>489</v>
      </c>
      <c r="H315" s="246">
        <v>468</v>
      </c>
      <c r="I315" s="244">
        <v>-4.2944785276073594E-2</v>
      </c>
      <c r="J315" s="244">
        <v>9.2093937813646741E-3</v>
      </c>
    </row>
    <row r="316" spans="2:10">
      <c r="B316" s="1" t="s">
        <v>154</v>
      </c>
      <c r="C316" s="1" t="s">
        <v>39</v>
      </c>
      <c r="D316" s="245">
        <v>0.75324738741283392</v>
      </c>
      <c r="F316" s="245"/>
      <c r="G316" s="246">
        <v>84.26229508196721</v>
      </c>
      <c r="H316" s="246">
        <v>87.639710716633786</v>
      </c>
      <c r="I316" s="244">
        <v>4.0082169983397087E-2</v>
      </c>
      <c r="J316" s="244"/>
    </row>
    <row r="317" spans="2:10">
      <c r="C317" s="1" t="s">
        <v>85</v>
      </c>
      <c r="D317" s="245">
        <v>6.7884539377270806E-2</v>
      </c>
      <c r="F317" s="245"/>
      <c r="G317" s="246">
        <v>105.9672131147541</v>
      </c>
      <c r="H317" s="246">
        <v>111.63708086785009</v>
      </c>
      <c r="I317" s="244">
        <v>5.3505868338312945E-2</v>
      </c>
      <c r="J317" s="244"/>
    </row>
    <row r="318" spans="2:10">
      <c r="C318" s="1" t="s">
        <v>40</v>
      </c>
      <c r="D318" s="245">
        <v>0.15782814093685452</v>
      </c>
      <c r="F318" s="245"/>
      <c r="G318" s="246">
        <v>417</v>
      </c>
      <c r="H318" s="246">
        <v>405</v>
      </c>
      <c r="I318" s="244">
        <v>-2.877697841726623E-2</v>
      </c>
      <c r="J318" s="244">
        <v>0</v>
      </c>
    </row>
    <row r="319" spans="2:10">
      <c r="B319" s="1" t="s">
        <v>158</v>
      </c>
      <c r="C319" s="1" t="s">
        <v>39</v>
      </c>
      <c r="D319" s="245">
        <v>0.41041719980458075</v>
      </c>
      <c r="F319" s="245"/>
      <c r="G319" s="246">
        <v>106.78851174934725</v>
      </c>
      <c r="H319" s="246">
        <v>108.6105675146771</v>
      </c>
      <c r="I319" s="244">
        <v>1.7062282594653588E-2</v>
      </c>
      <c r="J319" s="244"/>
    </row>
    <row r="320" spans="2:10">
      <c r="C320" s="1" t="s">
        <v>85</v>
      </c>
      <c r="D320" s="245">
        <v>0.18199775236105192</v>
      </c>
      <c r="F320" s="245"/>
      <c r="G320" s="246">
        <v>106.78851174934725</v>
      </c>
      <c r="H320" s="246">
        <v>108.6105675146771</v>
      </c>
      <c r="I320" s="244">
        <v>1.7062282594653588E-2</v>
      </c>
      <c r="J320" s="244"/>
    </row>
    <row r="321" spans="2:10">
      <c r="C321" s="1" t="s">
        <v>40</v>
      </c>
      <c r="D321" s="245">
        <v>0.40758504783436733</v>
      </c>
      <c r="F321" s="245"/>
      <c r="G321" s="246">
        <v>335</v>
      </c>
      <c r="H321" s="246">
        <v>307</v>
      </c>
      <c r="I321" s="244">
        <v>-8.3582089552238781E-2</v>
      </c>
      <c r="J321" s="244">
        <v>-2.3958858641097407E-2</v>
      </c>
    </row>
    <row r="322" spans="2:10">
      <c r="B322" s="1" t="s">
        <v>159</v>
      </c>
      <c r="C322" s="1" t="s">
        <v>39</v>
      </c>
      <c r="D322" s="245">
        <v>0.66805351726092921</v>
      </c>
      <c r="F322" s="245"/>
      <c r="G322" s="246">
        <v>100.31605562579013</v>
      </c>
      <c r="H322" s="246">
        <v>102.31158961367954</v>
      </c>
      <c r="I322" s="244">
        <v>1.9892468612735081E-2</v>
      </c>
      <c r="J322" s="244"/>
    </row>
    <row r="323" spans="2:10">
      <c r="C323" s="1" t="s">
        <v>85</v>
      </c>
      <c r="D323" s="245">
        <v>0.14670542652285079</v>
      </c>
      <c r="F323" s="245"/>
      <c r="G323" s="246">
        <v>100.31605562579013</v>
      </c>
      <c r="H323" s="246">
        <v>102.31158961367954</v>
      </c>
      <c r="I323" s="244">
        <v>1.9892468612735081E-2</v>
      </c>
      <c r="J323" s="244"/>
    </row>
    <row r="324" spans="2:10">
      <c r="C324" s="1" t="s">
        <v>40</v>
      </c>
      <c r="D324" s="245">
        <v>0.18497952363686473</v>
      </c>
      <c r="F324" s="245"/>
      <c r="G324" s="246">
        <v>312</v>
      </c>
      <c r="H324" s="246">
        <v>288</v>
      </c>
      <c r="I324" s="244">
        <v>-7.6923076923076872E-2</v>
      </c>
      <c r="J324" s="244">
        <v>1.9783725902513677E-3</v>
      </c>
    </row>
    <row r="325" spans="2:10">
      <c r="B325" s="1" t="s">
        <v>160</v>
      </c>
      <c r="C325" s="1" t="s">
        <v>39</v>
      </c>
      <c r="D325" s="245">
        <v>0.70915095136293127</v>
      </c>
      <c r="F325" s="245"/>
      <c r="G325" s="246">
        <v>86.92767086927671</v>
      </c>
      <c r="H325" s="246">
        <v>88.666666666666671</v>
      </c>
      <c r="I325" s="244">
        <v>2.0005089058524161E-2</v>
      </c>
      <c r="J325" s="244"/>
    </row>
    <row r="326" spans="2:10">
      <c r="C326" s="1" t="s">
        <v>85</v>
      </c>
      <c r="D326" s="245">
        <v>6.4867123193382226E-2</v>
      </c>
      <c r="F326" s="245"/>
      <c r="G326" s="246">
        <v>86.92767086927671</v>
      </c>
      <c r="H326" s="246">
        <v>88.666666666666671</v>
      </c>
      <c r="I326" s="244">
        <v>2.0005089058524161E-2</v>
      </c>
      <c r="J326" s="244"/>
    </row>
    <row r="327" spans="2:10">
      <c r="C327" s="1" t="s">
        <v>40</v>
      </c>
      <c r="D327" s="245">
        <v>0.22393633627760912</v>
      </c>
      <c r="F327" s="245"/>
      <c r="G327" s="246">
        <v>361</v>
      </c>
      <c r="H327" s="246">
        <v>338</v>
      </c>
      <c r="I327" s="244">
        <v>-6.3711911357340667E-2</v>
      </c>
      <c r="J327" s="244"/>
    </row>
    <row r="328" spans="2:10">
      <c r="C328" s="1" t="s">
        <v>41</v>
      </c>
      <c r="D328" s="245">
        <v>2.0455891660773589E-3</v>
      </c>
      <c r="E328" s="1">
        <v>100</v>
      </c>
      <c r="F328" s="245">
        <v>1</v>
      </c>
      <c r="G328" s="246">
        <v>486</v>
      </c>
      <c r="H328" s="246">
        <v>418</v>
      </c>
      <c r="I328" s="244">
        <v>-0.13991769547325106</v>
      </c>
      <c r="J328" s="244">
        <v>9.3067438579718721E-4</v>
      </c>
    </row>
    <row r="329" spans="2:10">
      <c r="B329" s="1" t="s">
        <v>161</v>
      </c>
      <c r="C329" s="1" t="s">
        <v>39</v>
      </c>
      <c r="D329" s="245">
        <v>0.89568321097362624</v>
      </c>
      <c r="F329" s="245"/>
      <c r="G329" s="246">
        <v>77.854454203262236</v>
      </c>
      <c r="H329" s="246">
        <v>79.620253164556956</v>
      </c>
      <c r="I329" s="244">
        <v>2.2680769897693631E-2</v>
      </c>
      <c r="J329" s="244"/>
    </row>
    <row r="330" spans="2:10">
      <c r="C330" s="1" t="s">
        <v>85</v>
      </c>
      <c r="D330" s="245">
        <v>5.4999950233239378E-2</v>
      </c>
      <c r="F330" s="245"/>
      <c r="G330" s="246">
        <v>108.53199498117944</v>
      </c>
      <c r="H330" s="246">
        <v>114.62025316455696</v>
      </c>
      <c r="I330" s="244">
        <v>5.609643667227604E-2</v>
      </c>
      <c r="J330" s="244"/>
    </row>
    <row r="331" spans="2:10">
      <c r="C331" s="1" t="s">
        <v>40</v>
      </c>
      <c r="D331" s="245">
        <v>4.9266314163059259E-2</v>
      </c>
      <c r="F331" s="245"/>
      <c r="G331" s="246">
        <v>242</v>
      </c>
      <c r="H331" s="246">
        <v>218</v>
      </c>
      <c r="I331" s="244">
        <v>-9.9173553719008267E-2</v>
      </c>
      <c r="J331" s="244">
        <v>0</v>
      </c>
    </row>
    <row r="332" spans="2:10">
      <c r="B332" s="1" t="s">
        <v>162</v>
      </c>
      <c r="C332" s="1" t="s">
        <v>39</v>
      </c>
      <c r="D332" s="245">
        <v>0.26699825468607058</v>
      </c>
      <c r="F332" s="245"/>
      <c r="G332" s="246">
        <v>139.10256410256412</v>
      </c>
      <c r="H332" s="246">
        <v>142.18415417558887</v>
      </c>
      <c r="I332" s="244">
        <v>2.2153366423588006E-2</v>
      </c>
      <c r="J332" s="244"/>
    </row>
    <row r="333" spans="2:10">
      <c r="C333" s="1" t="s">
        <v>85</v>
      </c>
      <c r="D333" s="245">
        <v>0.19229794260577315</v>
      </c>
      <c r="F333" s="245"/>
      <c r="G333" s="246">
        <v>139.10256410256412</v>
      </c>
      <c r="H333" s="246">
        <v>142.18415417558887</v>
      </c>
      <c r="I333" s="244">
        <v>2.2153366423588006E-2</v>
      </c>
      <c r="J333" s="244"/>
    </row>
    <row r="334" spans="2:10">
      <c r="C334" s="1" t="s">
        <v>40</v>
      </c>
      <c r="D334" s="245">
        <v>0.5355343320767938</v>
      </c>
      <c r="F334" s="245"/>
      <c r="G334" s="246">
        <v>360</v>
      </c>
      <c r="H334" s="246">
        <v>337</v>
      </c>
      <c r="I334" s="244">
        <v>-6.3888888888888884E-2</v>
      </c>
      <c r="J334" s="244">
        <v>-2.4039736482672817E-2</v>
      </c>
    </row>
    <row r="335" spans="2:10">
      <c r="B335" s="1" t="s">
        <v>163</v>
      </c>
      <c r="C335" s="1" t="s">
        <v>39</v>
      </c>
      <c r="D335" s="245">
        <v>0.67809933635447717</v>
      </c>
      <c r="F335" s="245"/>
      <c r="G335" s="246">
        <v>85.640025990903183</v>
      </c>
      <c r="H335" s="246">
        <v>86.996098829648901</v>
      </c>
      <c r="I335" s="244">
        <v>1.5834568276400951E-2</v>
      </c>
      <c r="J335" s="244"/>
    </row>
    <row r="336" spans="2:10">
      <c r="C336" s="1" t="s">
        <v>85</v>
      </c>
      <c r="D336" s="245">
        <v>6.3313367030867929E-2</v>
      </c>
      <c r="F336" s="245"/>
      <c r="G336" s="246">
        <v>85.640025990903183</v>
      </c>
      <c r="H336" s="246">
        <v>86.996098829648901</v>
      </c>
      <c r="I336" s="244">
        <v>1.5834568276400951E-2</v>
      </c>
      <c r="J336" s="244"/>
    </row>
    <row r="337" spans="2:10">
      <c r="C337" s="1" t="s">
        <v>40</v>
      </c>
      <c r="D337" s="245">
        <v>0.25268151182475596</v>
      </c>
      <c r="F337" s="245"/>
      <c r="G337" s="246">
        <v>254</v>
      </c>
      <c r="H337" s="246">
        <v>235</v>
      </c>
      <c r="I337" s="244">
        <v>-7.4803149606299191E-2</v>
      </c>
      <c r="J337" s="244"/>
    </row>
    <row r="338" spans="2:10">
      <c r="C338" s="1" t="s">
        <v>41</v>
      </c>
      <c r="D338" s="245">
        <v>5.9057847898989473E-3</v>
      </c>
      <c r="E338" s="1">
        <v>100</v>
      </c>
      <c r="F338" s="245">
        <v>1</v>
      </c>
      <c r="G338" s="246">
        <v>476</v>
      </c>
      <c r="H338" s="246">
        <v>407</v>
      </c>
      <c r="I338" s="244">
        <v>-0.14495798319327735</v>
      </c>
      <c r="J338" s="244">
        <v>-8.0175135113441081E-3</v>
      </c>
    </row>
    <row r="339" spans="2:10">
      <c r="B339" s="1" t="s">
        <v>164</v>
      </c>
      <c r="C339" s="1" t="s">
        <v>39</v>
      </c>
      <c r="D339" s="245">
        <v>0.24708361144246299</v>
      </c>
      <c r="F339" s="245"/>
      <c r="G339" s="246">
        <v>114.76323119777159</v>
      </c>
      <c r="H339" s="246">
        <v>116.92200557103062</v>
      </c>
      <c r="I339" s="244">
        <v>1.8810679611650283E-2</v>
      </c>
      <c r="J339" s="244"/>
    </row>
    <row r="340" spans="2:10">
      <c r="C340" s="1" t="s">
        <v>85</v>
      </c>
      <c r="D340" s="245">
        <v>0.37392631542848764</v>
      </c>
      <c r="F340" s="245"/>
      <c r="G340" s="246">
        <v>114.76323119777159</v>
      </c>
      <c r="H340" s="246">
        <v>116.92200557103062</v>
      </c>
      <c r="I340" s="244">
        <v>1.8810679611650283E-2</v>
      </c>
      <c r="J340" s="244"/>
    </row>
    <row r="341" spans="2:10">
      <c r="C341" s="1" t="s">
        <v>40</v>
      </c>
      <c r="D341" s="245">
        <v>0.37372896505286601</v>
      </c>
      <c r="F341" s="245"/>
      <c r="G341" s="246">
        <v>342</v>
      </c>
      <c r="H341" s="246">
        <v>316</v>
      </c>
      <c r="I341" s="244">
        <v>-7.6023391812865548E-2</v>
      </c>
      <c r="J341" s="244">
        <v>-1.6730524772006945E-2</v>
      </c>
    </row>
    <row r="342" spans="2:10">
      <c r="B342" s="1" t="s">
        <v>165</v>
      </c>
      <c r="C342" s="1" t="s">
        <v>39</v>
      </c>
      <c r="D342" s="245">
        <v>0.90683934251913667</v>
      </c>
      <c r="F342" s="245"/>
      <c r="G342" s="246">
        <v>80.260707635009311</v>
      </c>
      <c r="H342" s="246">
        <v>81.744548286604356</v>
      </c>
      <c r="I342" s="244">
        <v>1.8487759394583358E-2</v>
      </c>
      <c r="J342" s="244"/>
    </row>
    <row r="343" spans="2:10">
      <c r="C343" s="1" t="s">
        <v>85</v>
      </c>
      <c r="D343" s="245">
        <v>1.5788881676030247E-2</v>
      </c>
      <c r="F343" s="245"/>
      <c r="G343" s="246">
        <v>83.860955927995036</v>
      </c>
      <c r="H343" s="246">
        <v>88.224299065420553</v>
      </c>
      <c r="I343" s="244">
        <v>5.2030686857087449E-2</v>
      </c>
      <c r="J343" s="244"/>
    </row>
    <row r="344" spans="2:10">
      <c r="C344" s="1" t="s">
        <v>40</v>
      </c>
      <c r="D344" s="245">
        <v>7.7371775804833065E-2</v>
      </c>
      <c r="F344" s="245"/>
      <c r="G344" s="246">
        <v>289</v>
      </c>
      <c r="H344" s="246">
        <v>264</v>
      </c>
      <c r="I344" s="244">
        <v>-8.6505190311418678E-2</v>
      </c>
      <c r="J344" s="244">
        <v>1.0893873741615597E-2</v>
      </c>
    </row>
    <row r="345" spans="2:10">
      <c r="B345" s="1" t="s">
        <v>166</v>
      </c>
      <c r="C345" s="1" t="s">
        <v>39</v>
      </c>
      <c r="D345" s="245">
        <v>0.88792424792291647</v>
      </c>
      <c r="F345" s="245"/>
      <c r="G345" s="246">
        <v>80.649267982176966</v>
      </c>
      <c r="H345" s="246">
        <v>81.743002544529261</v>
      </c>
      <c r="I345" s="244">
        <v>1.3561617975181184E-2</v>
      </c>
      <c r="J345" s="244"/>
    </row>
    <row r="346" spans="2:10">
      <c r="C346" s="1" t="s">
        <v>85</v>
      </c>
      <c r="D346" s="245">
        <v>3.7588686292573323E-2</v>
      </c>
      <c r="F346" s="245"/>
      <c r="G346" s="246">
        <v>85.614258434118398</v>
      </c>
      <c r="H346" s="246">
        <v>89.631043256997458</v>
      </c>
      <c r="I346" s="244">
        <v>4.6917241314074376E-2</v>
      </c>
      <c r="J346" s="244"/>
    </row>
    <row r="347" spans="2:10">
      <c r="C347" s="1" t="s">
        <v>40</v>
      </c>
      <c r="D347" s="245">
        <v>7.4328901792444113E-2</v>
      </c>
      <c r="F347" s="245"/>
      <c r="G347" s="246">
        <v>294</v>
      </c>
      <c r="H347" s="246">
        <v>271</v>
      </c>
      <c r="I347" s="244">
        <v>-7.8231292517006779E-2</v>
      </c>
      <c r="J347" s="244">
        <v>7.9904008481057939E-3</v>
      </c>
    </row>
    <row r="348" spans="2:10">
      <c r="B348" s="1" t="s">
        <v>167</v>
      </c>
      <c r="C348" s="1" t="s">
        <v>39</v>
      </c>
      <c r="D348" s="245">
        <v>0.23338398524579232</v>
      </c>
      <c r="F348" s="245"/>
      <c r="G348" s="246">
        <v>113.28224776500639</v>
      </c>
      <c r="H348" s="246">
        <v>115.89743589743588</v>
      </c>
      <c r="I348" s="244">
        <v>2.3085595351660659E-2</v>
      </c>
      <c r="J348" s="244"/>
    </row>
    <row r="349" spans="2:10">
      <c r="C349" s="1" t="s">
        <v>85</v>
      </c>
      <c r="D349" s="245">
        <v>0.44977357093209247</v>
      </c>
      <c r="F349" s="245"/>
      <c r="G349" s="246">
        <v>113.28224776500639</v>
      </c>
      <c r="H349" s="246">
        <v>115.89743589743588</v>
      </c>
      <c r="I349" s="244">
        <v>2.3085595351660659E-2</v>
      </c>
      <c r="J349" s="244"/>
    </row>
    <row r="350" spans="2:10">
      <c r="C350" s="1" t="s">
        <v>40</v>
      </c>
      <c r="D350" s="245">
        <v>0.31684244382211513</v>
      </c>
      <c r="F350" s="245"/>
      <c r="G350" s="246">
        <v>248</v>
      </c>
      <c r="H350" s="246">
        <v>226</v>
      </c>
      <c r="I350" s="244">
        <v>-8.8709677419354871E-2</v>
      </c>
      <c r="J350" s="244">
        <v>-1.2335892080867869E-2</v>
      </c>
    </row>
    <row r="351" spans="2:10">
      <c r="B351" s="1" t="s">
        <v>168</v>
      </c>
      <c r="C351" s="1" t="s">
        <v>39</v>
      </c>
      <c r="D351" s="245">
        <v>0.55534817850375051</v>
      </c>
      <c r="F351" s="245"/>
      <c r="G351" s="246">
        <v>103.56911096690462</v>
      </c>
      <c r="H351" s="246">
        <v>104.85436893203884</v>
      </c>
      <c r="I351" s="244">
        <v>1.2409664939046605E-2</v>
      </c>
      <c r="J351" s="244"/>
    </row>
    <row r="352" spans="2:10">
      <c r="C352" s="1" t="s">
        <v>85</v>
      </c>
      <c r="D352" s="245">
        <v>0.17621648191887762</v>
      </c>
      <c r="F352" s="245"/>
      <c r="G352" s="246">
        <v>103.56911096690462</v>
      </c>
      <c r="H352" s="246">
        <v>104.85436893203884</v>
      </c>
      <c r="I352" s="244">
        <v>1.2409664939046605E-2</v>
      </c>
      <c r="J352" s="244"/>
    </row>
    <row r="353" spans="2:10">
      <c r="C353" s="1" t="s">
        <v>40</v>
      </c>
      <c r="D353" s="245">
        <v>0.26129808909612995</v>
      </c>
      <c r="F353" s="245"/>
      <c r="G353" s="246">
        <v>257</v>
      </c>
      <c r="H353" s="246">
        <v>231</v>
      </c>
      <c r="I353" s="244">
        <v>-0.10116731517509725</v>
      </c>
      <c r="J353" s="244">
        <v>-1.7356353817146595E-2</v>
      </c>
    </row>
    <row r="354" spans="2:10">
      <c r="B354" s="1" t="s">
        <v>169</v>
      </c>
      <c r="C354" s="1" t="s">
        <v>39</v>
      </c>
      <c r="D354" s="245">
        <v>0.38998063020529794</v>
      </c>
      <c r="F354" s="245"/>
      <c r="G354" s="246">
        <v>104.23782416192284</v>
      </c>
      <c r="H354" s="246">
        <v>105.93434343434343</v>
      </c>
      <c r="I354" s="244">
        <v>1.6275467049132075E-2</v>
      </c>
      <c r="J354" s="244"/>
    </row>
    <row r="355" spans="2:10">
      <c r="C355" s="1" t="s">
        <v>85</v>
      </c>
      <c r="D355" s="245">
        <v>0.28735187739208617</v>
      </c>
      <c r="F355" s="245"/>
      <c r="G355" s="246">
        <v>104.23782416192284</v>
      </c>
      <c r="H355" s="246">
        <v>105.93434343434343</v>
      </c>
      <c r="I355" s="244">
        <v>1.6275467049132075E-2</v>
      </c>
      <c r="J355" s="244"/>
    </row>
    <row r="356" spans="2:10">
      <c r="C356" s="1" t="s">
        <v>40</v>
      </c>
      <c r="D356" s="245">
        <v>0.32227850327873181</v>
      </c>
      <c r="F356" s="245"/>
      <c r="G356" s="246">
        <v>287</v>
      </c>
      <c r="H356" s="246">
        <v>265</v>
      </c>
      <c r="I356" s="244">
        <v>-7.6655052264808399E-2</v>
      </c>
      <c r="J356" s="244">
        <v>-1.3680372603948186E-2</v>
      </c>
    </row>
    <row r="357" spans="2:10">
      <c r="B357" s="1" t="s">
        <v>170</v>
      </c>
      <c r="C357" s="1" t="s">
        <v>39</v>
      </c>
      <c r="D357" s="245">
        <v>0.55903670706605557</v>
      </c>
      <c r="F357" s="245"/>
      <c r="G357" s="246">
        <v>100.40899795501024</v>
      </c>
      <c r="H357" s="246">
        <v>101.49051490514904</v>
      </c>
      <c r="I357" s="244">
        <v>1.0771115857797886E-2</v>
      </c>
      <c r="J357" s="244"/>
    </row>
    <row r="358" spans="2:10">
      <c r="C358" s="1" t="s">
        <v>85</v>
      </c>
      <c r="D358" s="245">
        <v>6.1595187095427835E-2</v>
      </c>
      <c r="F358" s="245"/>
      <c r="G358" s="246">
        <v>100.40899795501024</v>
      </c>
      <c r="H358" s="246">
        <v>101.49051490514904</v>
      </c>
      <c r="I358" s="244">
        <v>1.0771115857797886E-2</v>
      </c>
      <c r="J358" s="244"/>
    </row>
    <row r="359" spans="2:10">
      <c r="C359" s="1" t="s">
        <v>40</v>
      </c>
      <c r="D359" s="245">
        <v>0.37496632017462422</v>
      </c>
      <c r="F359" s="245"/>
      <c r="G359" s="246">
        <v>312</v>
      </c>
      <c r="H359" s="246">
        <v>290</v>
      </c>
      <c r="I359" s="244">
        <v>-7.0512820512820484E-2</v>
      </c>
      <c r="J359" s="244">
        <v>-1.9755034795768164E-2</v>
      </c>
    </row>
    <row r="360" spans="2:10">
      <c r="B360" s="1" t="s">
        <v>171</v>
      </c>
      <c r="C360" s="1" t="s">
        <v>39</v>
      </c>
      <c r="D360" s="245">
        <v>0.67167396071167773</v>
      </c>
      <c r="F360" s="245"/>
      <c r="G360" s="246">
        <v>108.6489898989899</v>
      </c>
      <c r="H360" s="246">
        <v>111.51399491094148</v>
      </c>
      <c r="I360" s="244">
        <v>2.6369366292453789E-2</v>
      </c>
      <c r="J360" s="244"/>
    </row>
    <row r="361" spans="2:10">
      <c r="C361" s="1" t="s">
        <v>85</v>
      </c>
      <c r="D361" s="245">
        <v>8.3174534825158616E-2</v>
      </c>
      <c r="F361" s="245"/>
      <c r="G361" s="246">
        <v>108.6489898989899</v>
      </c>
      <c r="H361" s="246">
        <v>111.51399491094148</v>
      </c>
      <c r="I361" s="244">
        <v>2.6369366292453789E-2</v>
      </c>
      <c r="J361" s="244"/>
    </row>
    <row r="362" spans="2:10">
      <c r="C362" s="1" t="s">
        <v>40</v>
      </c>
      <c r="D362" s="245">
        <v>0.24493810496790092</v>
      </c>
      <c r="G362" s="246">
        <v>333</v>
      </c>
      <c r="H362" s="246">
        <v>312</v>
      </c>
      <c r="I362" s="244">
        <v>-6.3063063063063085E-2</v>
      </c>
      <c r="J362" s="244">
        <v>4.4583293139806024E-3</v>
      </c>
    </row>
  </sheetData>
  <printOptions gridLines="1"/>
  <pageMargins left="0.25" right="0.25" top="0.75" bottom="0.5" header="0.3" footer="0.3"/>
  <pageSetup orientation="portrait" r:id="rId1"/>
  <headerFooter>
    <oddHeader>&amp;C&amp;"Times New Roman,Bold"&amp;16Ag Land Base Value Change 2024 to 2025</oddHeader>
    <oddFooter>&amp;L&amp;"Times New Roman,Regular"&amp;12Prepared by KDOR/PVD&amp;R&amp;"Times New Roman,Regular"&amp;12February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842B-B81B-47F9-85D1-A19DB82A99C2}">
  <dimension ref="A1:BY369"/>
  <sheetViews>
    <sheetView topLeftCell="D1" zoomScale="125" zoomScaleNormal="125" workbookViewId="0">
      <pane ySplit="4" topLeftCell="A312" activePane="bottomLeft" state="frozen"/>
      <selection activeCell="B2" sqref="B2"/>
      <selection pane="bottomLeft" activeCell="BI1" sqref="BI1:BL363"/>
    </sheetView>
  </sheetViews>
  <sheetFormatPr defaultColWidth="7.33203125" defaultRowHeight="15.6"/>
  <cols>
    <col min="1" max="1" width="0" style="2" hidden="1" customWidth="1"/>
    <col min="2" max="2" width="0" style="163" hidden="1" customWidth="1"/>
    <col min="3" max="3" width="10.77734375" style="2" hidden="1" customWidth="1"/>
    <col min="4" max="4" width="11.88671875" style="2" customWidth="1"/>
    <col min="5" max="5" width="11.5546875" style="2" bestFit="1" customWidth="1"/>
    <col min="6" max="6" width="9.21875" style="2" customWidth="1"/>
    <col min="7" max="7" width="8.109375" style="163" customWidth="1"/>
    <col min="8" max="8" width="7.33203125" style="2" customWidth="1"/>
    <col min="9" max="18" width="7.33203125" style="2" hidden="1" customWidth="1"/>
    <col min="19" max="19" width="7.33203125" style="239" hidden="1" customWidth="1"/>
    <col min="20" max="32" width="7.33203125" style="170" hidden="1" customWidth="1"/>
    <col min="33" max="33" width="7.33203125" style="236" hidden="1" customWidth="1"/>
    <col min="34" max="36" width="7.77734375" style="236" hidden="1" customWidth="1"/>
    <col min="37" max="41" width="7.33203125" style="2" hidden="1" customWidth="1"/>
    <col min="42" max="42" width="7.33203125" style="240" hidden="1" customWidth="1"/>
    <col min="43" max="60" width="7.33203125" style="237" hidden="1" customWidth="1"/>
    <col min="61" max="62" width="7.33203125" style="237"/>
    <col min="63" max="63" width="9.21875" style="2" customWidth="1"/>
    <col min="64" max="64" width="7.33203125" style="2" customWidth="1"/>
    <col min="65" max="68" width="7.33203125" style="2"/>
    <col min="69" max="69" width="7.33203125" style="8"/>
    <col min="70" max="70" width="7.33203125" style="9"/>
    <col min="71" max="76" width="7.33203125" style="2"/>
    <col min="77" max="77" width="7.33203125" style="10"/>
    <col min="78" max="16384" width="7.33203125" style="2"/>
  </cols>
  <sheetData>
    <row r="1" spans="1:77">
      <c r="B1" s="3" t="s">
        <v>0</v>
      </c>
      <c r="C1" s="3" t="s">
        <v>0</v>
      </c>
      <c r="D1" s="3" t="s">
        <v>1</v>
      </c>
      <c r="E1" s="3" t="s">
        <v>2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3</v>
      </c>
      <c r="N1" s="3" t="s">
        <v>4</v>
      </c>
      <c r="O1" s="3"/>
      <c r="P1" s="3" t="s">
        <v>5</v>
      </c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  <c r="AH1" s="6"/>
      <c r="AI1" s="6"/>
      <c r="AJ1" s="6"/>
      <c r="AK1" s="3" t="s">
        <v>0</v>
      </c>
      <c r="AL1" s="3" t="s">
        <v>0</v>
      </c>
      <c r="AM1" s="3" t="s">
        <v>0</v>
      </c>
      <c r="AN1" s="3" t="s">
        <v>5</v>
      </c>
      <c r="AO1" s="3" t="s">
        <v>6</v>
      </c>
      <c r="AP1" s="3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3"/>
      <c r="BL1" s="3" t="s">
        <v>0</v>
      </c>
      <c r="BM1" s="3"/>
      <c r="BN1" s="3"/>
      <c r="BO1" s="3"/>
      <c r="BP1" s="3"/>
    </row>
    <row r="2" spans="1:77" ht="15.75" customHeight="1">
      <c r="A2" s="8"/>
      <c r="B2" s="11"/>
      <c r="C2" s="12"/>
      <c r="D2" s="13"/>
      <c r="E2" s="14"/>
      <c r="F2" s="11" t="s">
        <v>7</v>
      </c>
      <c r="G2" s="11"/>
      <c r="H2" s="15" t="s">
        <v>7</v>
      </c>
      <c r="I2" s="16">
        <v>1996</v>
      </c>
      <c r="J2" s="16">
        <v>1997</v>
      </c>
      <c r="K2" s="17">
        <v>1998</v>
      </c>
      <c r="L2" s="15">
        <v>1999</v>
      </c>
      <c r="M2" s="16">
        <v>2000</v>
      </c>
      <c r="N2" s="16">
        <v>2001</v>
      </c>
      <c r="O2" s="16">
        <v>2001</v>
      </c>
      <c r="P2" s="18">
        <v>2002</v>
      </c>
      <c r="Q2" s="18">
        <v>2003</v>
      </c>
      <c r="R2" s="11">
        <v>2003</v>
      </c>
      <c r="S2" s="19">
        <v>2004</v>
      </c>
      <c r="T2" s="19">
        <v>2005</v>
      </c>
      <c r="U2" s="19">
        <v>2006</v>
      </c>
      <c r="V2" s="15">
        <v>2009</v>
      </c>
      <c r="W2" s="15">
        <v>2010</v>
      </c>
      <c r="X2" s="15">
        <v>2011</v>
      </c>
      <c r="Y2" s="15">
        <v>2012</v>
      </c>
      <c r="Z2" s="15">
        <v>2013</v>
      </c>
      <c r="AA2" s="15">
        <v>2014</v>
      </c>
      <c r="AB2" s="15">
        <v>2015</v>
      </c>
      <c r="AC2" s="15">
        <v>2016</v>
      </c>
      <c r="AD2" s="15">
        <v>2017</v>
      </c>
      <c r="AE2" s="15">
        <v>2018</v>
      </c>
      <c r="AF2" s="15">
        <v>2019</v>
      </c>
      <c r="AG2" s="15">
        <v>2020</v>
      </c>
      <c r="AH2" s="15">
        <v>2021</v>
      </c>
      <c r="AI2" s="15">
        <v>2022</v>
      </c>
      <c r="AJ2" s="15">
        <v>2023</v>
      </c>
      <c r="AK2" s="15">
        <v>1997</v>
      </c>
      <c r="AL2" s="17">
        <v>1998</v>
      </c>
      <c r="AM2" s="15">
        <v>1999</v>
      </c>
      <c r="AN2" s="15">
        <v>2000</v>
      </c>
      <c r="AO2" s="11">
        <v>2001</v>
      </c>
      <c r="AP2" s="11">
        <v>2002</v>
      </c>
      <c r="AQ2" s="11">
        <v>2003</v>
      </c>
      <c r="AR2" s="11">
        <v>2003</v>
      </c>
      <c r="AS2" s="11">
        <v>2004</v>
      </c>
      <c r="AT2" s="11">
        <v>2005</v>
      </c>
      <c r="AU2" s="11">
        <v>2006</v>
      </c>
      <c r="AV2" s="11">
        <v>2011</v>
      </c>
      <c r="AW2" s="11">
        <v>2012</v>
      </c>
      <c r="AX2" s="11">
        <v>2013</v>
      </c>
      <c r="AY2" s="11">
        <v>2014</v>
      </c>
      <c r="AZ2" s="11">
        <v>2015</v>
      </c>
      <c r="BA2" s="11">
        <v>2016</v>
      </c>
      <c r="BB2" s="15">
        <v>2017</v>
      </c>
      <c r="BC2" s="15">
        <v>2018</v>
      </c>
      <c r="BD2" s="15">
        <v>2019</v>
      </c>
      <c r="BE2" s="15">
        <v>2020</v>
      </c>
      <c r="BF2" s="15">
        <v>2021</v>
      </c>
      <c r="BG2" s="15">
        <v>2022</v>
      </c>
      <c r="BH2" s="15">
        <v>2023</v>
      </c>
      <c r="BI2" s="15">
        <v>2024</v>
      </c>
      <c r="BJ2" s="15">
        <v>2025</v>
      </c>
      <c r="BK2" s="20" t="s">
        <v>8</v>
      </c>
      <c r="BL2" s="20" t="s">
        <v>9</v>
      </c>
      <c r="BM2" s="21"/>
      <c r="BN2" s="21"/>
      <c r="BO2" s="21"/>
      <c r="BP2" s="21"/>
    </row>
    <row r="3" spans="1:77" ht="15.75" customHeight="1">
      <c r="A3" s="8"/>
      <c r="B3" s="22"/>
      <c r="C3" s="8"/>
      <c r="D3" s="23"/>
      <c r="E3" s="24"/>
      <c r="F3" s="22" t="s">
        <v>10</v>
      </c>
      <c r="G3" s="22" t="s">
        <v>11</v>
      </c>
      <c r="H3" s="21" t="s">
        <v>12</v>
      </c>
      <c r="I3" s="25" t="s">
        <v>13</v>
      </c>
      <c r="J3" s="25" t="s">
        <v>13</v>
      </c>
      <c r="K3" s="26" t="s">
        <v>14</v>
      </c>
      <c r="L3" s="25" t="s">
        <v>14</v>
      </c>
      <c r="M3" s="25" t="s">
        <v>14</v>
      </c>
      <c r="N3" s="25" t="s">
        <v>15</v>
      </c>
      <c r="O3" s="25" t="s">
        <v>16</v>
      </c>
      <c r="P3" s="27" t="s">
        <v>14</v>
      </c>
      <c r="Q3" s="27" t="s">
        <v>14</v>
      </c>
      <c r="R3" s="22" t="s">
        <v>14</v>
      </c>
      <c r="S3" s="28" t="s">
        <v>14</v>
      </c>
      <c r="T3" s="29" t="s">
        <v>14</v>
      </c>
      <c r="U3" s="29" t="s">
        <v>14</v>
      </c>
      <c r="V3" s="30" t="s">
        <v>14</v>
      </c>
      <c r="W3" s="30" t="s">
        <v>14</v>
      </c>
      <c r="X3" s="30" t="s">
        <v>17</v>
      </c>
      <c r="Y3" s="30" t="s">
        <v>17</v>
      </c>
      <c r="Z3" s="30" t="s">
        <v>17</v>
      </c>
      <c r="AA3" s="30" t="s">
        <v>17</v>
      </c>
      <c r="AB3" s="30" t="s">
        <v>17</v>
      </c>
      <c r="AC3" s="30" t="s">
        <v>17</v>
      </c>
      <c r="AD3" s="30" t="s">
        <v>17</v>
      </c>
      <c r="AE3" s="30" t="s">
        <v>17</v>
      </c>
      <c r="AF3" s="30" t="s">
        <v>17</v>
      </c>
      <c r="AG3" s="30" t="s">
        <v>17</v>
      </c>
      <c r="AH3" s="30" t="s">
        <v>17</v>
      </c>
      <c r="AI3" s="30" t="s">
        <v>17</v>
      </c>
      <c r="AJ3" s="30" t="s">
        <v>17</v>
      </c>
      <c r="AK3" s="21" t="s">
        <v>13</v>
      </c>
      <c r="AL3" s="26" t="s">
        <v>13</v>
      </c>
      <c r="AM3" s="21" t="s">
        <v>13</v>
      </c>
      <c r="AN3" s="21" t="s">
        <v>13</v>
      </c>
      <c r="AO3" s="22" t="s">
        <v>18</v>
      </c>
      <c r="AP3" s="22" t="s">
        <v>13</v>
      </c>
      <c r="AQ3" s="31" t="s">
        <v>18</v>
      </c>
      <c r="AR3" s="31" t="s">
        <v>18</v>
      </c>
      <c r="AS3" s="31" t="s">
        <v>13</v>
      </c>
      <c r="AT3" s="31" t="s">
        <v>13</v>
      </c>
      <c r="AU3" s="31" t="s">
        <v>13</v>
      </c>
      <c r="AV3" s="31" t="s">
        <v>13</v>
      </c>
      <c r="AW3" s="31" t="s">
        <v>13</v>
      </c>
      <c r="AX3" s="31" t="s">
        <v>13</v>
      </c>
      <c r="AY3" s="31" t="s">
        <v>13</v>
      </c>
      <c r="AZ3" s="31" t="s">
        <v>13</v>
      </c>
      <c r="BA3" s="31" t="s">
        <v>13</v>
      </c>
      <c r="BB3" s="32" t="s">
        <v>13</v>
      </c>
      <c r="BC3" s="32" t="s">
        <v>13</v>
      </c>
      <c r="BD3" s="32" t="s">
        <v>13</v>
      </c>
      <c r="BE3" s="32" t="s">
        <v>13</v>
      </c>
      <c r="BF3" s="32" t="s">
        <v>13</v>
      </c>
      <c r="BG3" s="32" t="s">
        <v>13</v>
      </c>
      <c r="BH3" s="32" t="s">
        <v>13</v>
      </c>
      <c r="BI3" s="32" t="s">
        <v>13</v>
      </c>
      <c r="BJ3" s="32" t="s">
        <v>13</v>
      </c>
      <c r="BK3" s="33" t="s">
        <v>19</v>
      </c>
      <c r="BL3" s="33" t="s">
        <v>20</v>
      </c>
      <c r="BM3" s="21"/>
      <c r="BN3" s="21"/>
      <c r="BO3" s="21"/>
      <c r="BP3" s="21"/>
    </row>
    <row r="4" spans="1:77" s="52" customFormat="1" ht="15.75" customHeight="1" thickBot="1">
      <c r="A4" s="34" t="s">
        <v>21</v>
      </c>
      <c r="B4" s="35" t="s">
        <v>22</v>
      </c>
      <c r="C4" s="34" t="s">
        <v>23</v>
      </c>
      <c r="D4" s="36" t="s">
        <v>23</v>
      </c>
      <c r="E4" s="34" t="s">
        <v>24</v>
      </c>
      <c r="F4" s="35" t="s">
        <v>23</v>
      </c>
      <c r="G4" s="35" t="s">
        <v>25</v>
      </c>
      <c r="H4" s="34" t="s">
        <v>25</v>
      </c>
      <c r="I4" s="37" t="s">
        <v>26</v>
      </c>
      <c r="J4" s="37" t="s">
        <v>26</v>
      </c>
      <c r="K4" s="38" t="s">
        <v>26</v>
      </c>
      <c r="L4" s="37" t="s">
        <v>26</v>
      </c>
      <c r="M4" s="37" t="s">
        <v>26</v>
      </c>
      <c r="N4" s="37" t="s">
        <v>26</v>
      </c>
      <c r="O4" s="37" t="s">
        <v>26</v>
      </c>
      <c r="P4" s="39" t="s">
        <v>26</v>
      </c>
      <c r="Q4" s="39" t="s">
        <v>26</v>
      </c>
      <c r="R4" s="40" t="s">
        <v>26</v>
      </c>
      <c r="S4" s="41" t="s">
        <v>26</v>
      </c>
      <c r="T4" s="42" t="s">
        <v>26</v>
      </c>
      <c r="U4" s="42" t="s">
        <v>26</v>
      </c>
      <c r="V4" s="43" t="s">
        <v>26</v>
      </c>
      <c r="W4" s="43" t="s">
        <v>26</v>
      </c>
      <c r="X4" s="43" t="s">
        <v>26</v>
      </c>
      <c r="Y4" s="43" t="s">
        <v>26</v>
      </c>
      <c r="Z4" s="43" t="s">
        <v>26</v>
      </c>
      <c r="AA4" s="43" t="s">
        <v>26</v>
      </c>
      <c r="AB4" s="43" t="s">
        <v>26</v>
      </c>
      <c r="AC4" s="43" t="s">
        <v>26</v>
      </c>
      <c r="AD4" s="43" t="s">
        <v>26</v>
      </c>
      <c r="AE4" s="43" t="s">
        <v>26</v>
      </c>
      <c r="AF4" s="43" t="s">
        <v>26</v>
      </c>
      <c r="AG4" s="43" t="s">
        <v>26</v>
      </c>
      <c r="AH4" s="43" t="s">
        <v>26</v>
      </c>
      <c r="AI4" s="43" t="s">
        <v>26</v>
      </c>
      <c r="AJ4" s="43" t="s">
        <v>26</v>
      </c>
      <c r="AK4" s="44" t="s">
        <v>27</v>
      </c>
      <c r="AL4" s="38" t="s">
        <v>27</v>
      </c>
      <c r="AM4" s="44" t="s">
        <v>27</v>
      </c>
      <c r="AN4" s="40" t="s">
        <v>28</v>
      </c>
      <c r="AO4" s="40" t="s">
        <v>29</v>
      </c>
      <c r="AP4" s="40" t="s">
        <v>30</v>
      </c>
      <c r="AQ4" s="45" t="s">
        <v>31</v>
      </c>
      <c r="AR4" s="45" t="s">
        <v>31</v>
      </c>
      <c r="AS4" s="45" t="s">
        <v>31</v>
      </c>
      <c r="AT4" s="45" t="s">
        <v>31</v>
      </c>
      <c r="AU4" s="45" t="s">
        <v>31</v>
      </c>
      <c r="AV4" s="45" t="s">
        <v>31</v>
      </c>
      <c r="AW4" s="45" t="s">
        <v>31</v>
      </c>
      <c r="AX4" s="45" t="s">
        <v>31</v>
      </c>
      <c r="AY4" s="45" t="s">
        <v>31</v>
      </c>
      <c r="AZ4" s="45" t="s">
        <v>31</v>
      </c>
      <c r="BA4" s="45" t="s">
        <v>31</v>
      </c>
      <c r="BB4" s="46" t="s">
        <v>31</v>
      </c>
      <c r="BC4" s="46" t="s">
        <v>31</v>
      </c>
      <c r="BD4" s="46" t="s">
        <v>31</v>
      </c>
      <c r="BE4" s="46" t="s">
        <v>31</v>
      </c>
      <c r="BF4" s="46" t="s">
        <v>31</v>
      </c>
      <c r="BG4" s="46" t="s">
        <v>27</v>
      </c>
      <c r="BH4" s="47" t="s">
        <v>27</v>
      </c>
      <c r="BI4" s="46" t="s">
        <v>27</v>
      </c>
      <c r="BJ4" s="47" t="s">
        <v>27</v>
      </c>
      <c r="BK4" s="48">
        <v>2025</v>
      </c>
      <c r="BL4" s="49" t="s">
        <v>19</v>
      </c>
      <c r="BM4" s="44" t="s">
        <v>32</v>
      </c>
      <c r="BN4" s="44" t="s">
        <v>33</v>
      </c>
      <c r="BO4" s="44" t="s">
        <v>34</v>
      </c>
      <c r="BP4" s="44" t="s">
        <v>35</v>
      </c>
      <c r="BQ4" s="50" t="s">
        <v>22</v>
      </c>
      <c r="BR4" s="51"/>
      <c r="BY4" s="53"/>
    </row>
    <row r="5" spans="1:77" ht="15.9" customHeight="1" thickTop="1">
      <c r="A5" s="54" t="s">
        <v>36</v>
      </c>
      <c r="B5" s="22" t="s">
        <v>37</v>
      </c>
      <c r="C5" s="8" t="s">
        <v>38</v>
      </c>
      <c r="D5" s="23" t="s">
        <v>38</v>
      </c>
      <c r="E5" s="8" t="s">
        <v>39</v>
      </c>
      <c r="F5" s="55">
        <f>[1]AcreSummary!M4</f>
        <v>0.42240780756400181</v>
      </c>
      <c r="G5" s="56"/>
      <c r="H5" s="8"/>
      <c r="I5" s="57">
        <f>[1]Native!E2</f>
        <v>4.1100000000000003</v>
      </c>
      <c r="J5" s="58">
        <f>[1]Native!F2</f>
        <v>4.2</v>
      </c>
      <c r="K5" s="59">
        <f>[1]Native!G2</f>
        <v>4.25</v>
      </c>
      <c r="L5" s="60">
        <f>[1]Native!H2</f>
        <v>4.37</v>
      </c>
      <c r="M5" s="61">
        <f>[1]Native!I2</f>
        <v>4.42</v>
      </c>
      <c r="N5" s="62">
        <f>[1]Native!J2</f>
        <v>4.4400000000000004</v>
      </c>
      <c r="O5" s="62">
        <v>4.41</v>
      </c>
      <c r="P5" s="62">
        <f>[1]Native!K2</f>
        <v>4.3899999999999997</v>
      </c>
      <c r="Q5" s="63">
        <f>[1]Native!L2</f>
        <v>3.86</v>
      </c>
      <c r="R5" s="64">
        <v>3.86</v>
      </c>
      <c r="S5" s="65">
        <f>[1]Native!M2</f>
        <v>3.38</v>
      </c>
      <c r="T5" s="66">
        <f>[1]Native!N2</f>
        <v>2.87</v>
      </c>
      <c r="U5" s="67">
        <f>[1]Native!O2</f>
        <v>2.4</v>
      </c>
      <c r="V5" s="68">
        <f>[1]Native!P2</f>
        <v>-1.91</v>
      </c>
      <c r="W5" s="68">
        <f>[1]Native!Q2</f>
        <v>-2.1800000000000002</v>
      </c>
      <c r="X5" s="68">
        <v>-1.88</v>
      </c>
      <c r="Y5" s="68">
        <v>-1.52</v>
      </c>
      <c r="Z5" s="68">
        <v>-0.51</v>
      </c>
      <c r="AA5" s="68">
        <v>0.68</v>
      </c>
      <c r="AB5" s="69">
        <v>1.73</v>
      </c>
      <c r="AC5" s="69">
        <v>2.69</v>
      </c>
      <c r="AD5" s="69">
        <v>3.57</v>
      </c>
      <c r="AE5" s="69">
        <v>4.29</v>
      </c>
      <c r="AF5" s="69">
        <v>4.42</v>
      </c>
      <c r="AG5" s="69">
        <v>4.51</v>
      </c>
      <c r="AH5" s="70">
        <v>4.43</v>
      </c>
      <c r="AI5" s="70">
        <v>4.21</v>
      </c>
      <c r="AJ5" s="70">
        <v>4.28</v>
      </c>
      <c r="AK5" s="8">
        <f>ROUND(J5/VLOOKUP($C5,CapRate,2),0)</f>
        <v>29</v>
      </c>
      <c r="AL5" s="8">
        <f>ROUND(K5/VLOOKUP($C5,CapRate,3),0)</f>
        <v>29</v>
      </c>
      <c r="AM5" s="71">
        <f>ROUND(L5/VLOOKUP($C5,CapRate,4),0)</f>
        <v>30</v>
      </c>
      <c r="AN5" s="72">
        <f>ROUND(M5/VLOOKUP($C5,CapRate,5),0)</f>
        <v>31</v>
      </c>
      <c r="AO5" s="71">
        <f>ROUND(O5/VLOOKUP($C5,CapRate,6),0)</f>
        <v>32</v>
      </c>
      <c r="AP5" s="72">
        <f>ROUND(P5/VLOOKUP($C5,CapRate,7),0)</f>
        <v>33</v>
      </c>
      <c r="AQ5" s="71">
        <f t="shared" ref="AQ5:AR28" si="0">ROUND(Q5/VLOOKUP($C5,CapRate,8),0)</f>
        <v>29</v>
      </c>
      <c r="AR5" s="71">
        <f t="shared" si="0"/>
        <v>29</v>
      </c>
      <c r="AS5" s="71">
        <f>ROUND(S5/VLOOKUP($C5,CapRate,9),0)</f>
        <v>25</v>
      </c>
      <c r="AT5" s="71">
        <f>ROUND(T5/VLOOKUP($C5,CapRate,10),0)</f>
        <v>21</v>
      </c>
      <c r="AU5" s="71">
        <f>ROUND(U5/VLOOKUP($C5,CapRate,11),0)</f>
        <v>18</v>
      </c>
      <c r="AV5" s="72">
        <f>IF(ROUND(V5/VLOOKUP($C5,CapRate,12),0)&gt;10,V5/VLOOKUP($C5,CapRate,12),10)</f>
        <v>10</v>
      </c>
      <c r="AW5" s="72">
        <f>IF(ROUND(W5/VLOOKUP($C5,CapRate,13),0)&gt;10,W5/VLOOKUP($C5,CapRate,13),10)</f>
        <v>10</v>
      </c>
      <c r="AX5" s="72">
        <f>IF(ROUND(X5/VLOOKUP($C5,CapRate,14),0)&gt;10,X5/VLOOKUP($C5,CapRate,14),10)</f>
        <v>10</v>
      </c>
      <c r="AY5" s="72">
        <f>IF(ROUND(Y5/VLOOKUP($C5,CapRate,15),0)&gt;10,Y5/VLOOKUP($C5,CapRate,15),10)</f>
        <v>10</v>
      </c>
      <c r="AZ5" s="72">
        <f>IF(ROUND(Z5/VLOOKUP($C5,CapRate,16),0)&gt;10,Z5/VLOOKUP($C5,CapRate,16),10)</f>
        <v>10</v>
      </c>
      <c r="BA5" s="72">
        <f>IF(ROUND(AA5/VLOOKUP($C5,CapRate,17),0)&gt;10,AA5/VLOOKUP($C5,CapRate,17),10)</f>
        <v>10</v>
      </c>
      <c r="BB5" s="72">
        <f>IF(ROUND(AB5/VLOOKUP($C5,CapRate,18),0)&gt;10,AB5/VLOOKUP($C5,CapRate,18),10)</f>
        <v>11.487383798140769</v>
      </c>
      <c r="BC5" s="72">
        <f>IF(ROUND(AC5/VLOOKUP($C5,CapRate,19),0)&gt;10,AC5/VLOOKUP($C5,CapRate,19),10)</f>
        <v>17.593198168737736</v>
      </c>
      <c r="BD5" s="73">
        <f>IF(ROUND(AD5/VLOOKUP($C5,CapRate,20),0)&gt;10,AD5/VLOOKUP($C5,CapRate,20),10)</f>
        <v>22.987765614938827</v>
      </c>
      <c r="BE5" s="73">
        <f>IF(ROUND(AE5/VLOOKUP($C5,CapRate,21),0)&gt;10,AE5/VLOOKUP($C5,CapRate,21),10)</f>
        <v>27.482383087764255</v>
      </c>
      <c r="BF5" s="73">
        <f>IF(ROUND(AF5/VLOOKUP($C5,CapRate,22),0)&gt;10,AF5/VLOOKUP($C5,CapRate,22),10)</f>
        <v>28.297055057618437</v>
      </c>
      <c r="BG5" s="73">
        <f>IF(ROUND(AG5/VLOOKUP($C5,CapRate,23),0)&gt;10,AG5/VLOOKUP($C5,CapRate,23),10)</f>
        <v>28.965960179833012</v>
      </c>
      <c r="BH5" s="74">
        <f>IF(ROUND(AH5/VLOOKUP($C5,CapRate,24),0)&gt;10,AH5/VLOOKUP($C5,CapRate,24),10)</f>
        <v>28.525434642627172</v>
      </c>
      <c r="BI5" s="74">
        <f>IF(ROUND(AI5/VLOOKUP($C5,CapRate,25),0)&gt;10,AI5/VLOOKUP($C5,CapRate,25),10)</f>
        <v>27.161290322580644</v>
      </c>
      <c r="BJ5" s="74">
        <f>IF(ROUND(AJ5/VLOOKUP($C5,CapRate,26),0)&gt;10,AJ5/VLOOKUP($C5,CapRate,26),10)</f>
        <v>27.900912646675359</v>
      </c>
      <c r="BK5" s="75">
        <f t="shared" ref="BK5:BK28" si="1">SUM(BJ5/BI5)-1</f>
        <v>2.7230750649567925E-2</v>
      </c>
      <c r="BL5" s="76"/>
      <c r="BM5" s="77">
        <f>BK5</f>
        <v>2.7230750649567925E-2</v>
      </c>
      <c r="BN5" s="77"/>
      <c r="BO5" s="77"/>
      <c r="BP5" s="78"/>
      <c r="BS5" s="9"/>
      <c r="BT5" s="9"/>
    </row>
    <row r="6" spans="1:77" ht="15.9" customHeight="1">
      <c r="A6" s="54">
        <v>10</v>
      </c>
      <c r="B6" s="22"/>
      <c r="C6" s="8" t="s">
        <v>38</v>
      </c>
      <c r="D6" s="23"/>
      <c r="E6" s="8" t="s">
        <v>40</v>
      </c>
      <c r="F6" s="55">
        <f>[1]AcreSummary!J4</f>
        <v>0.50245897383295324</v>
      </c>
      <c r="G6" s="79"/>
      <c r="H6" s="8"/>
      <c r="I6" s="57">
        <f>[1]Dry!E4</f>
        <v>13.11</v>
      </c>
      <c r="J6" s="58">
        <f>[1]Dry!F4</f>
        <v>13.16</v>
      </c>
      <c r="K6" s="80">
        <f>[1]Dry!G4</f>
        <v>13.63</v>
      </c>
      <c r="L6" s="68">
        <f>[1]Dry!H4</f>
        <v>14.05</v>
      </c>
      <c r="M6" s="58">
        <f>[1]Dry!I4</f>
        <v>14.54</v>
      </c>
      <c r="N6" s="81">
        <f>[1]Dry!J4</f>
        <v>15.13</v>
      </c>
      <c r="O6" s="62">
        <v>15.12</v>
      </c>
      <c r="P6" s="81">
        <f>[1]Dry!K4</f>
        <v>15.36</v>
      </c>
      <c r="Q6" s="82">
        <f>[1]Dry!L4</f>
        <v>15.45</v>
      </c>
      <c r="R6" s="83">
        <f>Q6*0.95</f>
        <v>14.677499999999998</v>
      </c>
      <c r="S6" s="84">
        <f>[1]Dry!N4</f>
        <v>15.04</v>
      </c>
      <c r="T6" s="66">
        <f>[1]Dry!O4</f>
        <v>14.27</v>
      </c>
      <c r="U6" s="67">
        <f>[1]Dry!P4</f>
        <v>12.85</v>
      </c>
      <c r="V6" s="68">
        <f>[1]Dry!Q4</f>
        <v>6.82</v>
      </c>
      <c r="W6" s="68">
        <f>[1]Dry!R4</f>
        <v>7.37</v>
      </c>
      <c r="X6" s="68">
        <f>[1]Dry!S4</f>
        <v>8.42</v>
      </c>
      <c r="Y6" s="68">
        <f>[1]Dry!T4</f>
        <v>11.57</v>
      </c>
      <c r="Z6" s="68">
        <f>[1]Dry!U4</f>
        <v>14.31</v>
      </c>
      <c r="AA6" s="68">
        <v>17.73</v>
      </c>
      <c r="AB6" s="69">
        <v>21.31</v>
      </c>
      <c r="AC6" s="69">
        <v>24.02</v>
      </c>
      <c r="AD6" s="69">
        <v>25.71</v>
      </c>
      <c r="AE6" s="69">
        <v>26.3</v>
      </c>
      <c r="AF6" s="69">
        <v>26.21</v>
      </c>
      <c r="AG6" s="69">
        <v>24.25</v>
      </c>
      <c r="AH6" s="70">
        <v>21.86</v>
      </c>
      <c r="AI6" s="70">
        <v>17.52</v>
      </c>
      <c r="AJ6" s="70">
        <v>14.97</v>
      </c>
      <c r="AK6" s="8">
        <f t="shared" ref="AK6:AK76" si="2">ROUND(J6/VLOOKUP($C6,CapRate,2),0)</f>
        <v>91</v>
      </c>
      <c r="AL6" s="8">
        <f t="shared" ref="AL6:AL76" si="3">ROUND(K6/VLOOKUP($C6,CapRate,3),0)</f>
        <v>94</v>
      </c>
      <c r="AM6" s="85">
        <f t="shared" ref="AM6:AM76" si="4">ROUND(L6/VLOOKUP($C6,CapRate,4),0)</f>
        <v>96</v>
      </c>
      <c r="AN6" s="23">
        <f t="shared" ref="AN6:AN76" si="5">ROUND(M6/VLOOKUP($C6,CapRate,5),0)</f>
        <v>102</v>
      </c>
      <c r="AO6" s="85">
        <f t="shared" ref="AO6:AO72" si="6">ROUND(O6/VLOOKUP($C6,CapRate,6),0)</f>
        <v>111</v>
      </c>
      <c r="AP6" s="72">
        <f t="shared" ref="AP6:AP72" si="7">ROUND(P6/VLOOKUP($C6,CapRate,7),0)</f>
        <v>115</v>
      </c>
      <c r="AQ6" s="71">
        <f t="shared" si="0"/>
        <v>115</v>
      </c>
      <c r="AR6" s="71">
        <f t="shared" si="0"/>
        <v>110</v>
      </c>
      <c r="AS6" s="71">
        <f t="shared" ref="AS6:AS28" si="8">ROUND(S6/VLOOKUP($C6,CapRate,9),0)</f>
        <v>112</v>
      </c>
      <c r="AT6" s="71">
        <f t="shared" ref="AT6:AT28" si="9">ROUND(T6/VLOOKUP($C6,CapRate,10),0)</f>
        <v>107</v>
      </c>
      <c r="AU6" s="71">
        <f t="shared" ref="AU6:AU28" si="10">ROUND(U6/VLOOKUP($C6,CapRate,11),0)</f>
        <v>96</v>
      </c>
      <c r="AV6" s="72">
        <f>ROUND(V6/VLOOKUP($C6,CapRate,12),0)</f>
        <v>50</v>
      </c>
      <c r="AW6" s="72">
        <f>ROUND(W6/VLOOKUP($C6,CapRate,13),0)</f>
        <v>53</v>
      </c>
      <c r="AX6" s="72">
        <f>ROUND(X6/VLOOKUP($C6,CapRate,14),0)</f>
        <v>60</v>
      </c>
      <c r="AY6" s="72">
        <f>ROUND(Y6/VLOOKUP($C6,CapRate,15),0)</f>
        <v>81</v>
      </c>
      <c r="AZ6" s="72">
        <f>ROUND(Z6/VLOOKUP($C6,CapRate,16),0)</f>
        <v>99</v>
      </c>
      <c r="BA6" s="72">
        <f>ROUND(AA6/VLOOKUP($C6,CapRate,17),0)</f>
        <v>120</v>
      </c>
      <c r="BB6" s="72">
        <f>ROUND(AB6/VLOOKUP($C6,CapRate,18),0)</f>
        <v>142</v>
      </c>
      <c r="BC6" s="72">
        <f>ROUND(AC6/VLOOKUP($C6,CapRate,19),0)</f>
        <v>157</v>
      </c>
      <c r="BD6" s="86">
        <f>ROUND(AD6/VLOOKUP($C6,CapRate,20),0)</f>
        <v>166</v>
      </c>
      <c r="BE6" s="86">
        <f>ROUND(AE6/VLOOKUP($C6,CapRate,21),0)</f>
        <v>168</v>
      </c>
      <c r="BF6" s="86">
        <f>ROUND(AF6/VLOOKUP($C6,CapRate,22),0)</f>
        <v>168</v>
      </c>
      <c r="BG6" s="86">
        <f>ROUND(AG6/VLOOKUP($C6,CapRate,23),0)</f>
        <v>156</v>
      </c>
      <c r="BH6" s="86">
        <f>ROUND(AH6/VLOOKUP($C6,CapRate,24),0)</f>
        <v>141</v>
      </c>
      <c r="BI6" s="86">
        <f>ROUND(AI6/VLOOKUP($C6,CapRate,25),0)</f>
        <v>113</v>
      </c>
      <c r="BJ6" s="86">
        <f>ROUND(AJ6/VLOOKUP($C6,CapRate,26),0)</f>
        <v>98</v>
      </c>
      <c r="BK6" s="87">
        <f t="shared" si="1"/>
        <v>-0.13274336283185839</v>
      </c>
      <c r="BL6" s="76"/>
      <c r="BM6" s="77"/>
      <c r="BN6" s="77">
        <f>BK6</f>
        <v>-0.13274336283185839</v>
      </c>
      <c r="BO6" s="77"/>
      <c r="BP6" s="88"/>
      <c r="BS6" s="9"/>
      <c r="BT6" s="9"/>
    </row>
    <row r="7" spans="1:77" ht="15.9" customHeight="1" thickBot="1">
      <c r="A7" s="89">
        <v>10</v>
      </c>
      <c r="B7" s="22"/>
      <c r="C7" s="90" t="s">
        <v>38</v>
      </c>
      <c r="D7" s="91"/>
      <c r="E7" s="90" t="s">
        <v>41</v>
      </c>
      <c r="F7" s="92">
        <f>[1]AcreSummary!K4</f>
        <v>7.5133218603044852E-2</v>
      </c>
      <c r="G7" s="93">
        <f>[1]Irrigated!D4</f>
        <v>300</v>
      </c>
      <c r="H7" s="94">
        <f>[1]Irrigated!E4</f>
        <v>0.76</v>
      </c>
      <c r="I7" s="95"/>
      <c r="J7" s="96">
        <f>[1]Irrigated!H4</f>
        <v>21.22</v>
      </c>
      <c r="K7" s="97">
        <f>[1]Irrigated!I4</f>
        <v>22.11</v>
      </c>
      <c r="L7" s="98">
        <f>[1]Irrigated!J4</f>
        <v>23.49</v>
      </c>
      <c r="M7" s="96">
        <f>[1]Irrigated!K4</f>
        <v>25.4</v>
      </c>
      <c r="N7" s="99">
        <f>[1]Irrigated!L4</f>
        <v>25.36</v>
      </c>
      <c r="O7" s="100">
        <v>26.84</v>
      </c>
      <c r="P7" s="99">
        <f>[1]Irrigated!M4</f>
        <v>24.32</v>
      </c>
      <c r="Q7" s="101">
        <f>[1]Irrigated!N4</f>
        <v>23.06</v>
      </c>
      <c r="R7" s="102">
        <v>23.06</v>
      </c>
      <c r="S7" s="103">
        <f>[1]Irrigated!O4</f>
        <v>22.05</v>
      </c>
      <c r="T7" s="104">
        <f>[1]Irrigated!P4</f>
        <v>22.98</v>
      </c>
      <c r="U7" s="105">
        <f>[1]Irrigated!Q4</f>
        <v>22.08</v>
      </c>
      <c r="V7" s="98">
        <f>[1]Irrigated!R4</f>
        <v>16.350000000000001</v>
      </c>
      <c r="W7" s="98">
        <f>[1]Irrigated!S4</f>
        <v>21.17</v>
      </c>
      <c r="X7" s="98">
        <v>27.62</v>
      </c>
      <c r="Y7" s="98">
        <v>37.880000000000003</v>
      </c>
      <c r="Z7" s="98">
        <v>49.56</v>
      </c>
      <c r="AA7" s="98">
        <v>61.65</v>
      </c>
      <c r="AB7" s="106">
        <v>75.319999999999993</v>
      </c>
      <c r="AC7" s="106">
        <v>86.06</v>
      </c>
      <c r="AD7" s="106">
        <v>91.02</v>
      </c>
      <c r="AE7" s="106">
        <v>92.52</v>
      </c>
      <c r="AF7" s="106">
        <v>89.51</v>
      </c>
      <c r="AG7" s="106">
        <v>80.5</v>
      </c>
      <c r="AH7" s="107">
        <v>69.650000000000006</v>
      </c>
      <c r="AI7" s="107">
        <v>58.57</v>
      </c>
      <c r="AJ7" s="107">
        <v>49.62</v>
      </c>
      <c r="AK7" s="90">
        <f>ROUND(J7/VLOOKUP($C7,CapRate,2),0)</f>
        <v>146</v>
      </c>
      <c r="AL7" s="90">
        <f t="shared" si="3"/>
        <v>153</v>
      </c>
      <c r="AM7" s="108">
        <f t="shared" si="4"/>
        <v>160</v>
      </c>
      <c r="AN7" s="91">
        <f t="shared" si="5"/>
        <v>178</v>
      </c>
      <c r="AO7" s="108">
        <f t="shared" si="6"/>
        <v>197</v>
      </c>
      <c r="AP7" s="109">
        <f t="shared" si="7"/>
        <v>181</v>
      </c>
      <c r="AQ7" s="110">
        <f t="shared" si="0"/>
        <v>172</v>
      </c>
      <c r="AR7" s="110">
        <f t="shared" si="0"/>
        <v>172</v>
      </c>
      <c r="AS7" s="110">
        <f t="shared" si="8"/>
        <v>165</v>
      </c>
      <c r="AT7" s="110">
        <f t="shared" si="9"/>
        <v>172</v>
      </c>
      <c r="AU7" s="110">
        <f t="shared" si="10"/>
        <v>165</v>
      </c>
      <c r="AV7" s="109">
        <f>ROUND(V7/VLOOKUP($C7,CapRate,12),0)</f>
        <v>119</v>
      </c>
      <c r="AW7" s="109">
        <f>ROUND(W7/VLOOKUP($C7,CapRate,13),0)</f>
        <v>153</v>
      </c>
      <c r="AX7" s="109">
        <f>ROUND(X7/VLOOKUP($C7,CapRate,14),0)</f>
        <v>197</v>
      </c>
      <c r="AY7" s="109">
        <f>ROUND(Y7/VLOOKUP($C7,CapRate,15),0)</f>
        <v>264</v>
      </c>
      <c r="AZ7" s="109">
        <f>ROUND(Z7/VLOOKUP($C7,CapRate,16),0)</f>
        <v>343</v>
      </c>
      <c r="BA7" s="109">
        <f>ROUND(AA7/VLOOKUP($C7,CapRate,17),0)</f>
        <v>417</v>
      </c>
      <c r="BB7" s="109">
        <f>ROUND(AB7/VLOOKUP($C7,CapRate,18),0)</f>
        <v>500</v>
      </c>
      <c r="BC7" s="109">
        <f>ROUND(AC7/VLOOKUP($C7,CapRate,19),0)</f>
        <v>563</v>
      </c>
      <c r="BD7" s="111">
        <f>ROUND(AD7/VLOOKUP($C7,CapRate,20),0)</f>
        <v>586</v>
      </c>
      <c r="BE7" s="111">
        <f>ROUND(AE7/VLOOKUP($C7,CapRate,21),0)</f>
        <v>593</v>
      </c>
      <c r="BF7" s="112">
        <f>ROUND(AF7/VLOOKUP($C7,CapRate,22),0)</f>
        <v>573</v>
      </c>
      <c r="BG7" s="112">
        <f>ROUND(AG7/VLOOKUP($C7,CapRate,23),0)</f>
        <v>517</v>
      </c>
      <c r="BH7" s="112">
        <f>ROUND(AH7/VLOOKUP($C7,CapRate,24),0)</f>
        <v>448</v>
      </c>
      <c r="BI7" s="112">
        <f>ROUND(AI7/VLOOKUP($C7,CapRate,25),0)</f>
        <v>378</v>
      </c>
      <c r="BJ7" s="112">
        <f>ROUND(AJ7/VLOOKUP($C7,CapRate,26),0)</f>
        <v>323</v>
      </c>
      <c r="BK7" s="113">
        <f t="shared" si="1"/>
        <v>-0.14550264550264547</v>
      </c>
      <c r="BL7" s="114">
        <f>((F5*BK5)+(F6*BK6)+(F7*BK7))</f>
        <v>-6.6127694263296552E-2</v>
      </c>
      <c r="BM7" s="115"/>
      <c r="BN7" s="115"/>
      <c r="BO7" s="115">
        <f>BK7</f>
        <v>-0.14550264550264547</v>
      </c>
      <c r="BP7" s="116"/>
      <c r="BQ7" s="115">
        <f>AVERAGE(BL7:BL28)</f>
        <v>-4.6795982537686603E-2</v>
      </c>
      <c r="BS7" s="9"/>
      <c r="BT7" s="9"/>
    </row>
    <row r="8" spans="1:77" ht="15.9" customHeight="1" thickTop="1">
      <c r="A8" s="54">
        <v>10</v>
      </c>
      <c r="B8" s="22"/>
      <c r="C8" s="8" t="s">
        <v>42</v>
      </c>
      <c r="D8" s="23" t="s">
        <v>42</v>
      </c>
      <c r="E8" s="8" t="s">
        <v>39</v>
      </c>
      <c r="F8" s="55">
        <f>[1]AcreSummary!M5</f>
        <v>0.40760920971091719</v>
      </c>
      <c r="G8" s="79"/>
      <c r="H8" s="117"/>
      <c r="I8" s="57">
        <f>[1]Native!E3</f>
        <v>5.56</v>
      </c>
      <c r="J8" s="58">
        <f>[1]Native!F3</f>
        <v>5.63</v>
      </c>
      <c r="K8" s="80">
        <f>[1]Native!G3</f>
        <v>5.68</v>
      </c>
      <c r="L8" s="68">
        <f>[1]Native!H3</f>
        <v>5.82</v>
      </c>
      <c r="M8" s="58">
        <f>[1]Native!I3</f>
        <v>5.89</v>
      </c>
      <c r="N8" s="81">
        <f>[1]Native!J3</f>
        <v>5.93</v>
      </c>
      <c r="O8" s="62">
        <v>5.96</v>
      </c>
      <c r="P8" s="81">
        <f>[1]Native!K3</f>
        <v>5.86</v>
      </c>
      <c r="Q8" s="82">
        <f>[1]Native!L3</f>
        <v>5.29</v>
      </c>
      <c r="R8" s="83">
        <v>5.29</v>
      </c>
      <c r="S8" s="84">
        <f>[1]Native!M3</f>
        <v>4.78</v>
      </c>
      <c r="T8" s="66">
        <f>[1]Native!N3</f>
        <v>4.24</v>
      </c>
      <c r="U8" s="67">
        <f>[1]Native!O3</f>
        <v>3.81</v>
      </c>
      <c r="V8" s="68">
        <f>[1]Native!P3</f>
        <v>0.27</v>
      </c>
      <c r="W8" s="68">
        <f>[1]Native!Q3</f>
        <v>0.28999999999999998</v>
      </c>
      <c r="X8" s="68">
        <v>0.88</v>
      </c>
      <c r="Y8" s="68">
        <v>1.56</v>
      </c>
      <c r="Z8" s="68">
        <v>2.95</v>
      </c>
      <c r="AA8" s="68">
        <v>4.41</v>
      </c>
      <c r="AB8" s="69">
        <v>5.61</v>
      </c>
      <c r="AC8" s="69">
        <v>6.72</v>
      </c>
      <c r="AD8" s="69">
        <v>7.61</v>
      </c>
      <c r="AE8" s="69">
        <v>8.43</v>
      </c>
      <c r="AF8" s="69">
        <v>8.66</v>
      </c>
      <c r="AG8" s="69">
        <v>8.85</v>
      </c>
      <c r="AH8" s="70">
        <v>8.83</v>
      </c>
      <c r="AI8" s="70">
        <v>8.67</v>
      </c>
      <c r="AJ8" s="70">
        <v>8.84</v>
      </c>
      <c r="AK8" s="8">
        <f t="shared" si="2"/>
        <v>37</v>
      </c>
      <c r="AL8" s="8">
        <f t="shared" si="3"/>
        <v>38</v>
      </c>
      <c r="AM8" s="85">
        <f t="shared" si="4"/>
        <v>38</v>
      </c>
      <c r="AN8" s="23">
        <f t="shared" si="5"/>
        <v>39</v>
      </c>
      <c r="AO8" s="85">
        <f t="shared" si="6"/>
        <v>41</v>
      </c>
      <c r="AP8" s="72">
        <f t="shared" si="7"/>
        <v>41</v>
      </c>
      <c r="AQ8" s="71">
        <f t="shared" si="0"/>
        <v>37</v>
      </c>
      <c r="AR8" s="71">
        <f t="shared" si="0"/>
        <v>37</v>
      </c>
      <c r="AS8" s="71">
        <f t="shared" si="8"/>
        <v>33</v>
      </c>
      <c r="AT8" s="71">
        <f t="shared" si="9"/>
        <v>29</v>
      </c>
      <c r="AU8" s="71">
        <f t="shared" si="10"/>
        <v>26</v>
      </c>
      <c r="AV8" s="72">
        <f>IF(ROUND(V8/VLOOKUP($C8,CapRate,12),0)&gt;10,V8/VLOOKUP($C8,CapRate,12),10)</f>
        <v>10</v>
      </c>
      <c r="AW8" s="72">
        <f>IF(ROUND(W8/VLOOKUP($C8,CapRate,13),0)&gt;10,W8/VLOOKUP($C8,CapRate,13),10)</f>
        <v>10</v>
      </c>
      <c r="AX8" s="72">
        <f>IF(ROUND(X8/VLOOKUP($C8,CapRate,14),0)&gt;10,X8/VLOOKUP($C8,CapRate,14),10)</f>
        <v>10</v>
      </c>
      <c r="AY8" s="72">
        <f>IF(ROUND(Y8/VLOOKUP($C8,CapRate,15),0)&gt;10,Y8/VLOOKUP($C8,CapRate,15),10)</f>
        <v>10</v>
      </c>
      <c r="AZ8" s="72">
        <f>IF(ROUND(Z8/VLOOKUP($C8,CapRate,16),0)&gt;10,Z8/VLOOKUP($C8,CapRate,16),10)</f>
        <v>19.395134779750165</v>
      </c>
      <c r="BA8" s="72">
        <f>IF(ROUND(AA8/VLOOKUP($C8,CapRate,17),0)&gt;10,AA8/VLOOKUP($C8,CapRate,17),10)</f>
        <v>28.710937500000004</v>
      </c>
      <c r="BB8" s="72">
        <f>IF(ROUND(AB8/VLOOKUP($C8,CapRate,18),0)&gt;10,AB8/VLOOKUP($C8,CapRate,18),10)</f>
        <v>36.499674690956411</v>
      </c>
      <c r="BC8" s="72">
        <f>IF(ROUND(AC8/VLOOKUP($C8,CapRate,19),0)&gt;10,AC8/VLOOKUP($C8,CapRate,19),10)</f>
        <v>43.608046722907204</v>
      </c>
      <c r="BD8" s="86">
        <f>IF(ROUND(AD8/VLOOKUP($C8,CapRate,20),0)&gt;10,AD8/VLOOKUP($C8,CapRate,20),10)</f>
        <v>49.544270833333343</v>
      </c>
      <c r="BE8" s="86">
        <f>IF(ROUND(AE8/VLOOKUP($C8,CapRate,21),0)&gt;10,AE8/VLOOKUP($C8,CapRate,21),10)</f>
        <v>55.098039215686271</v>
      </c>
      <c r="BF8" s="118">
        <f>IF(ROUND(AF8/VLOOKUP($C8,CapRate,22),0)&gt;10,AF8/VLOOKUP($C8,CapRate,22),10)</f>
        <v>57.011191573403551</v>
      </c>
      <c r="BG8" s="118">
        <f>IF(ROUND(AG8/VLOOKUP($C8,CapRate,23),0)&gt;10,AG8/VLOOKUP($C8,CapRate,23),10)</f>
        <v>58.454425363276087</v>
      </c>
      <c r="BH8" s="118">
        <f>IF(ROUND(AH8/VLOOKUP($C8,CapRate,24),0)&gt;10,AH8/VLOOKUP($C8,CapRate,24),10)</f>
        <v>58.476821192052981</v>
      </c>
      <c r="BI8" s="118">
        <f>IF(ROUND(AI8/VLOOKUP($C8,CapRate,25),0)&gt;10,AI8/VLOOKUP($C8,CapRate,25),10)</f>
        <v>57.493368700265258</v>
      </c>
      <c r="BJ8" s="118">
        <f>IF(ROUND(AJ8/VLOOKUP($C8,CapRate,26),0)&gt;10,AJ8/VLOOKUP($C8,CapRate,26),10)</f>
        <v>58.465608465608462</v>
      </c>
      <c r="BK8" s="75">
        <f t="shared" si="1"/>
        <v>1.6910467890859815E-2</v>
      </c>
      <c r="BL8" s="76"/>
      <c r="BM8" s="77">
        <f>BK8</f>
        <v>1.6910467890859815E-2</v>
      </c>
      <c r="BN8" s="77"/>
      <c r="BO8" s="77"/>
      <c r="BP8" s="88"/>
      <c r="BS8" s="9"/>
      <c r="BT8" s="9"/>
    </row>
    <row r="9" spans="1:77" ht="15.9" customHeight="1">
      <c r="A9" s="54">
        <v>10</v>
      </c>
      <c r="B9" s="22"/>
      <c r="C9" s="8" t="s">
        <v>42</v>
      </c>
      <c r="D9" s="23"/>
      <c r="E9" s="8" t="s">
        <v>40</v>
      </c>
      <c r="F9" s="55">
        <f>[1]AcreSummary!J5</f>
        <v>0.57211740969959257</v>
      </c>
      <c r="G9" s="79"/>
      <c r="H9" s="117"/>
      <c r="I9" s="57">
        <f>[1]Dry!E5</f>
        <v>12.8</v>
      </c>
      <c r="J9" s="58">
        <f>[1]Dry!F5</f>
        <v>12.76</v>
      </c>
      <c r="K9" s="80">
        <f>[1]Dry!G5</f>
        <v>13.09</v>
      </c>
      <c r="L9" s="68">
        <f>[1]Dry!H5</f>
        <v>13.51</v>
      </c>
      <c r="M9" s="58">
        <f>[1]Dry!I5</f>
        <v>14.07</v>
      </c>
      <c r="N9" s="81">
        <f>[1]Dry!J5</f>
        <v>14.78</v>
      </c>
      <c r="O9" s="62">
        <v>14.8</v>
      </c>
      <c r="P9" s="81">
        <f>[1]Dry!K5</f>
        <v>15.09</v>
      </c>
      <c r="Q9" s="82">
        <f>[1]Dry!L5</f>
        <v>15.3</v>
      </c>
      <c r="R9" s="83">
        <f>Q9*0.95</f>
        <v>14.535</v>
      </c>
      <c r="S9" s="84">
        <f>[1]Dry!N5</f>
        <v>14.67</v>
      </c>
      <c r="T9" s="66">
        <f>[1]Dry!O5</f>
        <v>13.86</v>
      </c>
      <c r="U9" s="67">
        <f>[1]Dry!P5</f>
        <v>12.73</v>
      </c>
      <c r="V9" s="68">
        <f>[1]Dry!Q5</f>
        <v>7.58</v>
      </c>
      <c r="W9" s="68">
        <f>[1]Dry!R5</f>
        <v>9.34</v>
      </c>
      <c r="X9" s="68">
        <f>[1]Dry!S5</f>
        <v>12.88</v>
      </c>
      <c r="Y9" s="68">
        <f>[1]Dry!T5</f>
        <v>18.13</v>
      </c>
      <c r="Z9" s="68">
        <f>[1]Dry!U5</f>
        <v>22.51</v>
      </c>
      <c r="AA9" s="68">
        <v>27.54</v>
      </c>
      <c r="AB9" s="69">
        <v>32.450000000000003</v>
      </c>
      <c r="AC9" s="69">
        <v>36.72</v>
      </c>
      <c r="AD9" s="69">
        <v>38.92</v>
      </c>
      <c r="AE9" s="69">
        <v>39.74</v>
      </c>
      <c r="AF9" s="69">
        <v>38.5</v>
      </c>
      <c r="AG9" s="69">
        <v>35.86</v>
      </c>
      <c r="AH9" s="70">
        <v>33.92</v>
      </c>
      <c r="AI9" s="70">
        <v>30.11</v>
      </c>
      <c r="AJ9" s="70">
        <v>28.34</v>
      </c>
      <c r="AK9" s="8">
        <f t="shared" si="2"/>
        <v>85</v>
      </c>
      <c r="AL9" s="8">
        <f t="shared" si="3"/>
        <v>87</v>
      </c>
      <c r="AM9" s="85">
        <f t="shared" si="4"/>
        <v>88</v>
      </c>
      <c r="AN9" s="23">
        <f t="shared" si="5"/>
        <v>93</v>
      </c>
      <c r="AO9" s="85">
        <f t="shared" si="6"/>
        <v>102</v>
      </c>
      <c r="AP9" s="72">
        <f t="shared" si="7"/>
        <v>105</v>
      </c>
      <c r="AQ9" s="71">
        <f t="shared" si="0"/>
        <v>106</v>
      </c>
      <c r="AR9" s="71">
        <f t="shared" si="0"/>
        <v>101</v>
      </c>
      <c r="AS9" s="71">
        <f t="shared" si="8"/>
        <v>102</v>
      </c>
      <c r="AT9" s="71">
        <f t="shared" si="9"/>
        <v>96</v>
      </c>
      <c r="AU9" s="71">
        <f t="shared" si="10"/>
        <v>88</v>
      </c>
      <c r="AV9" s="72">
        <f>ROUND(V9/VLOOKUP($C9,CapRate,12),0)</f>
        <v>51</v>
      </c>
      <c r="AW9" s="72">
        <f>ROUND(W9/VLOOKUP($C9,CapRate,13),0)</f>
        <v>63</v>
      </c>
      <c r="AX9" s="72">
        <f>ROUND(X9/VLOOKUP($C9,CapRate,14),0)</f>
        <v>86</v>
      </c>
      <c r="AY9" s="72">
        <f>ROUND(Y9/VLOOKUP($C9,CapRate,15),0)</f>
        <v>120</v>
      </c>
      <c r="AZ9" s="72">
        <f>ROUND(Z9/VLOOKUP($C9,CapRate,16),0)</f>
        <v>148</v>
      </c>
      <c r="BA9" s="72">
        <f>ROUND(AA9/VLOOKUP($C9,CapRate,17),0)</f>
        <v>179</v>
      </c>
      <c r="BB9" s="72">
        <f>ROUND(AB9/VLOOKUP($C9,CapRate,18),0)</f>
        <v>211</v>
      </c>
      <c r="BC9" s="72">
        <f>ROUND(AC9/VLOOKUP($C9,CapRate,19),0)</f>
        <v>238</v>
      </c>
      <c r="BD9" s="86">
        <f>ROUND(AD9/VLOOKUP($C9,CapRate,20),0)</f>
        <v>253</v>
      </c>
      <c r="BE9" s="86">
        <f>ROUND(AE9/VLOOKUP($C9,CapRate,21),0)</f>
        <v>260</v>
      </c>
      <c r="BF9" s="118">
        <f>ROUND(AF9/VLOOKUP($C9,CapRate,22),0)</f>
        <v>253</v>
      </c>
      <c r="BG9" s="118">
        <f>ROUND(AG9/VLOOKUP($C9,CapRate,23),0)</f>
        <v>237</v>
      </c>
      <c r="BH9" s="118">
        <f>ROUND(AH9/VLOOKUP($C9,CapRate,24),0)</f>
        <v>225</v>
      </c>
      <c r="BI9" s="118">
        <f>ROUND(AI9/VLOOKUP($C9,CapRate,25),0)</f>
        <v>200</v>
      </c>
      <c r="BJ9" s="118">
        <f>ROUND(AJ9/VLOOKUP($C9,CapRate,26),0)</f>
        <v>187</v>
      </c>
      <c r="BK9" s="87">
        <f t="shared" si="1"/>
        <v>-6.4999999999999947E-2</v>
      </c>
      <c r="BL9" s="76"/>
      <c r="BM9" s="77"/>
      <c r="BN9" s="77">
        <f>BK9</f>
        <v>-6.4999999999999947E-2</v>
      </c>
      <c r="BO9" s="77"/>
      <c r="BP9" s="88"/>
      <c r="BR9" s="9" t="s">
        <v>43</v>
      </c>
      <c r="BS9" s="9"/>
      <c r="BT9" s="9"/>
    </row>
    <row r="10" spans="1:77" ht="15.9" customHeight="1" thickBot="1">
      <c r="A10" s="89">
        <v>10</v>
      </c>
      <c r="B10" s="22"/>
      <c r="C10" s="90" t="s">
        <v>42</v>
      </c>
      <c r="D10" s="91"/>
      <c r="E10" s="90" t="s">
        <v>41</v>
      </c>
      <c r="F10" s="92">
        <f>[1]AcreSummary!K5</f>
        <v>2.0273380589490349E-2</v>
      </c>
      <c r="G10" s="93">
        <f>[1]Irrigated!D5</f>
        <v>100</v>
      </c>
      <c r="H10" s="94">
        <f>[1]Irrigated!E5</f>
        <v>0.77470000000000006</v>
      </c>
      <c r="I10" s="95"/>
      <c r="J10" s="96">
        <f>[1]Irrigated!H5</f>
        <v>36.57</v>
      </c>
      <c r="K10" s="97">
        <f>[1]Irrigated!I5</f>
        <v>38.07</v>
      </c>
      <c r="L10" s="98">
        <f>[1]Irrigated!J5</f>
        <v>40.380000000000003</v>
      </c>
      <c r="M10" s="96">
        <f>[1]Irrigated!K5</f>
        <v>43.3</v>
      </c>
      <c r="N10" s="99">
        <f>[1]Irrigated!L5</f>
        <v>43.76</v>
      </c>
      <c r="O10" s="100">
        <v>39.630000000000003</v>
      </c>
      <c r="P10" s="99">
        <f>[1]Irrigated!M5</f>
        <v>43.59</v>
      </c>
      <c r="Q10" s="101">
        <f>[1]Irrigated!N5</f>
        <v>42.42</v>
      </c>
      <c r="R10" s="102">
        <v>42.42</v>
      </c>
      <c r="S10" s="103">
        <f>[1]Irrigated!O5</f>
        <v>41.3</v>
      </c>
      <c r="T10" s="104">
        <f>[1]Irrigated!P5</f>
        <v>42.48</v>
      </c>
      <c r="U10" s="105">
        <f>[1]Irrigated!Q5</f>
        <v>41.08</v>
      </c>
      <c r="V10" s="98">
        <f>[1]Irrigated!R5</f>
        <v>34.29</v>
      </c>
      <c r="W10" s="98">
        <f>[1]Irrigated!S5</f>
        <v>39.380000000000003</v>
      </c>
      <c r="X10" s="98">
        <v>45.62</v>
      </c>
      <c r="Y10" s="98">
        <v>55.54</v>
      </c>
      <c r="Z10" s="98">
        <v>67.12</v>
      </c>
      <c r="AA10" s="98">
        <v>79.349999999999994</v>
      </c>
      <c r="AB10" s="106">
        <v>92.4</v>
      </c>
      <c r="AC10" s="106">
        <v>103.27</v>
      </c>
      <c r="AD10" s="106">
        <v>109.42</v>
      </c>
      <c r="AE10" s="106">
        <v>112.31</v>
      </c>
      <c r="AF10" s="106">
        <v>110.92</v>
      </c>
      <c r="AG10" s="106">
        <v>103.35</v>
      </c>
      <c r="AH10" s="107">
        <v>93.81</v>
      </c>
      <c r="AI10" s="107">
        <v>84.01</v>
      </c>
      <c r="AJ10" s="107">
        <v>76.06</v>
      </c>
      <c r="AK10" s="90">
        <f t="shared" si="2"/>
        <v>243</v>
      </c>
      <c r="AL10" s="90">
        <f t="shared" si="3"/>
        <v>252</v>
      </c>
      <c r="AM10" s="108">
        <f t="shared" si="4"/>
        <v>263</v>
      </c>
      <c r="AN10" s="91">
        <f t="shared" si="5"/>
        <v>287</v>
      </c>
      <c r="AO10" s="108">
        <f t="shared" si="6"/>
        <v>274</v>
      </c>
      <c r="AP10" s="109">
        <f t="shared" si="7"/>
        <v>304</v>
      </c>
      <c r="AQ10" s="110">
        <f t="shared" si="0"/>
        <v>294</v>
      </c>
      <c r="AR10" s="110">
        <f t="shared" si="0"/>
        <v>294</v>
      </c>
      <c r="AS10" s="110">
        <f t="shared" si="8"/>
        <v>287</v>
      </c>
      <c r="AT10" s="110">
        <f t="shared" si="9"/>
        <v>294</v>
      </c>
      <c r="AU10" s="110">
        <f t="shared" si="10"/>
        <v>285</v>
      </c>
      <c r="AV10" s="119">
        <f>ROUND(V10/VLOOKUP($C10,CapRate,12),0)</f>
        <v>232</v>
      </c>
      <c r="AW10" s="109">
        <f>ROUND(W10/VLOOKUP($C10,CapRate,13),0)</f>
        <v>264</v>
      </c>
      <c r="AX10" s="109">
        <f>ROUND(X10/VLOOKUP($C10,CapRate,14),0)</f>
        <v>305</v>
      </c>
      <c r="AY10" s="109">
        <f>ROUND(Y10/VLOOKUP($C10,CapRate,15),0)</f>
        <v>366</v>
      </c>
      <c r="AZ10" s="109">
        <f>ROUND(Z10/VLOOKUP($C10,CapRate,16),0)</f>
        <v>441</v>
      </c>
      <c r="BA10" s="109">
        <f>ROUND(AA10/VLOOKUP($C10,CapRate,17),0)</f>
        <v>517</v>
      </c>
      <c r="BB10" s="109">
        <f>ROUND(AB10/VLOOKUP($C10,CapRate,18),0)</f>
        <v>601</v>
      </c>
      <c r="BC10" s="109">
        <f>ROUND(AC10/VLOOKUP($C10,CapRate,19),0)</f>
        <v>670</v>
      </c>
      <c r="BD10" s="111">
        <f>ROUND(AD10/VLOOKUP($C10,CapRate,20),0)</f>
        <v>712</v>
      </c>
      <c r="BE10" s="111">
        <f>ROUND(AE10/VLOOKUP($C10,CapRate,21),0)</f>
        <v>734</v>
      </c>
      <c r="BF10" s="112">
        <f>ROUND(AF10/VLOOKUP($C10,CapRate,22),0)</f>
        <v>730</v>
      </c>
      <c r="BG10" s="112">
        <f>ROUND(AG10/VLOOKUP($C10,CapRate,23),0)</f>
        <v>683</v>
      </c>
      <c r="BH10" s="112">
        <f>ROUND(AH10/VLOOKUP($C10,CapRate,24),0)</f>
        <v>621</v>
      </c>
      <c r="BI10" s="112">
        <f>ROUND(AI10/VLOOKUP($C10,CapRate,25),0)</f>
        <v>557</v>
      </c>
      <c r="BJ10" s="112">
        <f>ROUND(AJ10/VLOOKUP($C10,CapRate,26),0)</f>
        <v>503</v>
      </c>
      <c r="BK10" s="113">
        <f t="shared" si="1"/>
        <v>-9.6947935368043137E-2</v>
      </c>
      <c r="BL10" s="114">
        <f>((F8*BK8)+(F9*BK9)+(F10*BK10))</f>
        <v>-3.2260231568719926E-2</v>
      </c>
      <c r="BM10" s="120"/>
      <c r="BN10" s="115"/>
      <c r="BO10" s="115">
        <f>BK10</f>
        <v>-9.6947935368043137E-2</v>
      </c>
      <c r="BP10" s="116"/>
      <c r="BQ10" s="90"/>
      <c r="BS10" s="9"/>
      <c r="BT10" s="9"/>
      <c r="BX10" s="121"/>
    </row>
    <row r="11" spans="1:77" ht="15.9" customHeight="1" thickTop="1">
      <c r="A11" s="54">
        <v>10</v>
      </c>
      <c r="B11" s="22"/>
      <c r="C11" s="8" t="s">
        <v>44</v>
      </c>
      <c r="D11" s="23" t="s">
        <v>44</v>
      </c>
      <c r="E11" s="8" t="s">
        <v>39</v>
      </c>
      <c r="F11" s="55">
        <f>[1]AcreSummary!M6</f>
        <v>0.4766237587667122</v>
      </c>
      <c r="G11" s="79"/>
      <c r="H11" s="117"/>
      <c r="I11" s="57">
        <f>[1]Native!E4</f>
        <v>5.72</v>
      </c>
      <c r="J11" s="58">
        <f>[1]Native!F4</f>
        <v>5.88</v>
      </c>
      <c r="K11" s="80">
        <f>[1]Native!G4</f>
        <v>6.04</v>
      </c>
      <c r="L11" s="68">
        <f>[1]Native!H4</f>
        <v>6.29</v>
      </c>
      <c r="M11" s="58">
        <f>[1]Native!I4</f>
        <v>6.46</v>
      </c>
      <c r="N11" s="81">
        <f>[1]Native!J4</f>
        <v>6.61</v>
      </c>
      <c r="O11" s="62">
        <v>6.63</v>
      </c>
      <c r="P11" s="81">
        <f>[1]Native!K4</f>
        <v>6.65</v>
      </c>
      <c r="Q11" s="82">
        <f>[1]Native!L4</f>
        <v>6.17</v>
      </c>
      <c r="R11" s="83">
        <v>6.17</v>
      </c>
      <c r="S11" s="84">
        <f>[1]Native!M4</f>
        <v>5.76</v>
      </c>
      <c r="T11" s="66">
        <f>[1]Native!N4</f>
        <v>5.32</v>
      </c>
      <c r="U11" s="67">
        <f>[1]Native!O4</f>
        <v>4.88</v>
      </c>
      <c r="V11" s="68">
        <f>[1]Native!P4</f>
        <v>0.99</v>
      </c>
      <c r="W11" s="68">
        <f>[1]Native!Q4</f>
        <v>0.9</v>
      </c>
      <c r="X11" s="68">
        <v>1.38</v>
      </c>
      <c r="Y11" s="68">
        <v>1.96</v>
      </c>
      <c r="Z11" s="68">
        <v>3.24</v>
      </c>
      <c r="AA11" s="68">
        <v>4.59</v>
      </c>
      <c r="AB11" s="69">
        <v>5.79</v>
      </c>
      <c r="AC11" s="69">
        <v>6.91</v>
      </c>
      <c r="AD11" s="69">
        <v>7.8</v>
      </c>
      <c r="AE11" s="69">
        <v>8.6300000000000008</v>
      </c>
      <c r="AF11" s="69">
        <v>8.8699999999999992</v>
      </c>
      <c r="AG11" s="69">
        <v>9.06</v>
      </c>
      <c r="AH11" s="70">
        <v>9.0399999999999991</v>
      </c>
      <c r="AI11" s="70">
        <v>8.89</v>
      </c>
      <c r="AJ11" s="70">
        <v>9.06</v>
      </c>
      <c r="AK11" s="8">
        <f t="shared" si="2"/>
        <v>38</v>
      </c>
      <c r="AL11" s="8">
        <f t="shared" si="3"/>
        <v>39</v>
      </c>
      <c r="AM11" s="85">
        <f t="shared" si="4"/>
        <v>40</v>
      </c>
      <c r="AN11" s="23">
        <f t="shared" si="5"/>
        <v>41</v>
      </c>
      <c r="AO11" s="85">
        <f t="shared" si="6"/>
        <v>44</v>
      </c>
      <c r="AP11" s="72">
        <f t="shared" si="7"/>
        <v>45</v>
      </c>
      <c r="AQ11" s="71">
        <f t="shared" si="0"/>
        <v>41</v>
      </c>
      <c r="AR11" s="71">
        <f t="shared" si="0"/>
        <v>41</v>
      </c>
      <c r="AS11" s="71">
        <f t="shared" si="8"/>
        <v>38</v>
      </c>
      <c r="AT11" s="71">
        <f t="shared" si="9"/>
        <v>35</v>
      </c>
      <c r="AU11" s="71">
        <f t="shared" si="10"/>
        <v>33</v>
      </c>
      <c r="AV11" s="122">
        <f>IF(ROUND(V11/VLOOKUP($C11,CapRate,12),0)&gt;10,V11/VLOOKUP($C11,CapRate,12),10)</f>
        <v>10</v>
      </c>
      <c r="AW11" s="72">
        <f>IF(ROUND(W11/VLOOKUP($C11,CapRate,13),0)&gt;10,W11/VLOOKUP($C11,CapRate,13),10)</f>
        <v>10</v>
      </c>
      <c r="AX11" s="72">
        <f>IF(ROUND(X11/VLOOKUP($C11,CapRate,14),0)&gt;10,X11/VLOOKUP($C11,CapRate,14),10)</f>
        <v>10</v>
      </c>
      <c r="AY11" s="72">
        <f>IF(ROUND(Y11/VLOOKUP($C11,CapRate,15),0)&gt;10,Y11/VLOOKUP($C11,CapRate,15),10)</f>
        <v>13.234301147873058</v>
      </c>
      <c r="AZ11" s="72">
        <f>IF(ROUND(Z11/VLOOKUP($C11,CapRate,16),0)&gt;10,Z11/VLOOKUP($C11,CapRate,16),10)</f>
        <v>21.891891891891895</v>
      </c>
      <c r="BA11" s="72">
        <f>IF(ROUND(AA11/VLOOKUP($C11,CapRate,17),0)&gt;10,AA11/VLOOKUP($C11,CapRate,17),10)</f>
        <v>30.90909090909091</v>
      </c>
      <c r="BB11" s="72">
        <f>IF(ROUND(AB11/VLOOKUP($C11,CapRate,18),0)&gt;10,AB11/VLOOKUP($C11,CapRate,18),10)</f>
        <v>38.729096989966557</v>
      </c>
      <c r="BC11" s="72">
        <f>IF(ROUND(AC11/VLOOKUP($C11,CapRate,19),0)&gt;10,AC11/VLOOKUP($C11,CapRate,19),10)</f>
        <v>45.76158940397351</v>
      </c>
      <c r="BD11" s="86">
        <f>IF(ROUND(AD11/VLOOKUP($C11,CapRate,20),0)&gt;10,AD11/VLOOKUP($C11,CapRate,20),10)</f>
        <v>51.553205551883678</v>
      </c>
      <c r="BE11" s="86">
        <f>IF(ROUND(AE11/VLOOKUP($C11,CapRate,21),0)&gt;10,AE11/VLOOKUP($C11,CapRate,21),10)</f>
        <v>56.888595912986162</v>
      </c>
      <c r="BF11" s="118">
        <f>IF(ROUND(AF11/VLOOKUP($C11,CapRate,22),0)&gt;10,AF11/VLOOKUP($C11,CapRate,22),10)</f>
        <v>58.240315167432698</v>
      </c>
      <c r="BG11" s="118">
        <f>IF(ROUND(AG11/VLOOKUP($C11,CapRate,23),0)&gt;10,AG11/VLOOKUP($C11,CapRate,23),10)</f>
        <v>59.061277705345503</v>
      </c>
      <c r="BH11" s="118">
        <f>IF(ROUND(AH11/VLOOKUP($C11,CapRate,24),0)&gt;10,AH11/VLOOKUP($C11,CapRate,24),10)</f>
        <v>58.549222797927449</v>
      </c>
      <c r="BI11" s="118">
        <f>IF(ROUND(AI11/VLOOKUP($C11,CapRate,25),0)&gt;10,AI11/VLOOKUP($C11,CapRate,25),10)</f>
        <v>57.133676092544995</v>
      </c>
      <c r="BJ11" s="118">
        <f>IF(ROUND(AJ11/VLOOKUP($C11,CapRate,26),0)&gt;10,AJ11/VLOOKUP($C11,CapRate,26),10)</f>
        <v>58.188824662813104</v>
      </c>
      <c r="BK11" s="75">
        <f t="shared" si="1"/>
        <v>1.8468067214141515E-2</v>
      </c>
      <c r="BL11" s="76"/>
      <c r="BM11" s="77">
        <f>BK11</f>
        <v>1.8468067214141515E-2</v>
      </c>
      <c r="BN11" s="77"/>
      <c r="BO11" s="77"/>
      <c r="BP11" s="88"/>
      <c r="BS11" s="9"/>
      <c r="BT11" s="9"/>
      <c r="BU11" s="9"/>
    </row>
    <row r="12" spans="1:77" ht="15.9" customHeight="1">
      <c r="A12" s="54">
        <v>10</v>
      </c>
      <c r="B12" s="22"/>
      <c r="C12" s="8" t="s">
        <v>44</v>
      </c>
      <c r="D12" s="23"/>
      <c r="E12" s="8" t="s">
        <v>40</v>
      </c>
      <c r="F12" s="55">
        <f>[1]AcreSummary!J6</f>
        <v>0.494830207198518</v>
      </c>
      <c r="G12" s="79"/>
      <c r="H12" s="117"/>
      <c r="I12" s="57">
        <f>[1]Dry!E6</f>
        <v>10.119999999999999</v>
      </c>
      <c r="J12" s="58">
        <f>[1]Dry!F6</f>
        <v>9.77</v>
      </c>
      <c r="K12" s="80">
        <f>[1]Dry!G6</f>
        <v>9.57</v>
      </c>
      <c r="L12" s="68">
        <f>[1]Dry!H6</f>
        <v>9.77</v>
      </c>
      <c r="M12" s="58">
        <f>[1]Dry!I6</f>
        <v>10.01</v>
      </c>
      <c r="N12" s="81">
        <f>[1]Dry!J6</f>
        <v>10.37</v>
      </c>
      <c r="O12" s="62">
        <v>10.43</v>
      </c>
      <c r="P12" s="81">
        <f>[1]Dry!K6</f>
        <v>10.69</v>
      </c>
      <c r="Q12" s="82">
        <f>[1]Dry!L6</f>
        <v>11.29</v>
      </c>
      <c r="R12" s="83">
        <f>Q12*0.95</f>
        <v>10.725499999999998</v>
      </c>
      <c r="S12" s="84">
        <f>[1]Dry!N6</f>
        <v>11.19</v>
      </c>
      <c r="T12" s="66">
        <f>[1]Dry!O6</f>
        <v>10.96</v>
      </c>
      <c r="U12" s="67">
        <f>[1]Dry!P6</f>
        <v>10.31</v>
      </c>
      <c r="V12" s="68">
        <f>[1]Dry!Q6</f>
        <v>6.61</v>
      </c>
      <c r="W12" s="68">
        <f>[1]Dry!R6</f>
        <v>7.8</v>
      </c>
      <c r="X12" s="68">
        <f>[1]Dry!S6</f>
        <v>10.48</v>
      </c>
      <c r="Y12" s="68">
        <f>[1]Dry!T6</f>
        <v>14.94</v>
      </c>
      <c r="Z12" s="68">
        <f>[1]Dry!U6</f>
        <v>18.579999999999998</v>
      </c>
      <c r="AA12" s="68">
        <v>24.31</v>
      </c>
      <c r="AB12" s="69">
        <v>28.92</v>
      </c>
      <c r="AC12" s="69">
        <v>32.43</v>
      </c>
      <c r="AD12" s="69">
        <v>34.76</v>
      </c>
      <c r="AE12" s="69">
        <v>36.119999999999997</v>
      </c>
      <c r="AF12" s="69">
        <v>35.82</v>
      </c>
      <c r="AG12" s="69">
        <v>33.54</v>
      </c>
      <c r="AH12" s="70">
        <v>31.36</v>
      </c>
      <c r="AI12" s="70">
        <v>26.79</v>
      </c>
      <c r="AJ12" s="70">
        <v>24.4</v>
      </c>
      <c r="AK12" s="8">
        <f t="shared" si="2"/>
        <v>62</v>
      </c>
      <c r="AL12" s="8">
        <f t="shared" si="3"/>
        <v>61</v>
      </c>
      <c r="AM12" s="85">
        <f t="shared" si="4"/>
        <v>62</v>
      </c>
      <c r="AN12" s="23">
        <f t="shared" si="5"/>
        <v>64</v>
      </c>
      <c r="AO12" s="85">
        <f t="shared" si="6"/>
        <v>69</v>
      </c>
      <c r="AP12" s="72">
        <f t="shared" si="7"/>
        <v>72</v>
      </c>
      <c r="AQ12" s="71">
        <f t="shared" si="0"/>
        <v>75</v>
      </c>
      <c r="AR12" s="71">
        <f t="shared" si="0"/>
        <v>71</v>
      </c>
      <c r="AS12" s="71">
        <f t="shared" si="8"/>
        <v>75</v>
      </c>
      <c r="AT12" s="71">
        <f t="shared" si="9"/>
        <v>73</v>
      </c>
      <c r="AU12" s="71">
        <f t="shared" si="10"/>
        <v>69</v>
      </c>
      <c r="AV12" s="72">
        <f>ROUND(V12/VLOOKUP($C12,CapRate,12),0)</f>
        <v>45</v>
      </c>
      <c r="AW12" s="72">
        <f>ROUND(W12/VLOOKUP($C12,CapRate,13),0)</f>
        <v>53</v>
      </c>
      <c r="AX12" s="72">
        <f>ROUND(X12/VLOOKUP($C12,CapRate,14),0)</f>
        <v>71</v>
      </c>
      <c r="AY12" s="72">
        <f>ROUND(Y12/VLOOKUP($C12,CapRate,15),0)</f>
        <v>101</v>
      </c>
      <c r="AZ12" s="72">
        <f>ROUND(Z12/VLOOKUP($C12,CapRate,16),0)</f>
        <v>126</v>
      </c>
      <c r="BA12" s="72">
        <f>ROUND(AA12/VLOOKUP($C12,CapRate,17),0)</f>
        <v>164</v>
      </c>
      <c r="BB12" s="72">
        <f>ROUND(AB12/VLOOKUP($C12,CapRate,18),0)</f>
        <v>193</v>
      </c>
      <c r="BC12" s="72">
        <f>ROUND(AC12/VLOOKUP($C12,CapRate,19),0)</f>
        <v>215</v>
      </c>
      <c r="BD12" s="86">
        <f>ROUND(AD12/VLOOKUP($C12,CapRate,20),0)</f>
        <v>230</v>
      </c>
      <c r="BE12" s="86">
        <f>ROUND(AE12/VLOOKUP($C12,CapRate,21),0)</f>
        <v>238</v>
      </c>
      <c r="BF12" s="118">
        <f>ROUND(AF12/VLOOKUP($C12,CapRate,22),0)</f>
        <v>235</v>
      </c>
      <c r="BG12" s="118">
        <f>ROUND(AG12/VLOOKUP($C12,CapRate,23),0)</f>
        <v>219</v>
      </c>
      <c r="BH12" s="118">
        <f>ROUND(AH12/VLOOKUP($C12,CapRate,24),0)</f>
        <v>203</v>
      </c>
      <c r="BI12" s="118">
        <f>ROUND(AI12/VLOOKUP($C12,CapRate,25),0)</f>
        <v>172</v>
      </c>
      <c r="BJ12" s="118">
        <f>ROUND(AJ12/VLOOKUP($C12,CapRate,26),0)</f>
        <v>157</v>
      </c>
      <c r="BK12" s="87">
        <f t="shared" si="1"/>
        <v>-8.7209302325581439E-2</v>
      </c>
      <c r="BL12" s="76"/>
      <c r="BM12" s="77"/>
      <c r="BN12" s="77">
        <f>BK12</f>
        <v>-8.7209302325581439E-2</v>
      </c>
      <c r="BO12" s="77"/>
      <c r="BP12" s="88"/>
      <c r="BQ12" s="9"/>
      <c r="BS12" s="9"/>
      <c r="BT12" s="9"/>
      <c r="BU12" s="9"/>
      <c r="BV12" s="9"/>
      <c r="BW12" s="9"/>
      <c r="BX12" s="9"/>
    </row>
    <row r="13" spans="1:77" ht="15.9" customHeight="1" thickBot="1">
      <c r="A13" s="89">
        <v>10</v>
      </c>
      <c r="B13" s="22"/>
      <c r="C13" s="90" t="s">
        <v>44</v>
      </c>
      <c r="D13" s="91"/>
      <c r="E13" s="90" t="s">
        <v>41</v>
      </c>
      <c r="F13" s="92">
        <f>[1]AcreSummary!K6</f>
        <v>2.8546034034769793E-2</v>
      </c>
      <c r="G13" s="93">
        <f>[1]Irrigated!D6</f>
        <v>100</v>
      </c>
      <c r="H13" s="94">
        <f>[1]Irrigated!E6</f>
        <v>0.45469999999999999</v>
      </c>
      <c r="I13" s="95"/>
      <c r="J13" s="96">
        <f>[1]Irrigated!H6</f>
        <v>26.22</v>
      </c>
      <c r="K13" s="97">
        <f>[1]Irrigated!I6</f>
        <v>27.19</v>
      </c>
      <c r="L13" s="98">
        <f>[1]Irrigated!J6</f>
        <v>28.74</v>
      </c>
      <c r="M13" s="96">
        <f>[1]Irrigated!K6</f>
        <v>30.79</v>
      </c>
      <c r="N13" s="99">
        <f>[1]Irrigated!L6</f>
        <v>30.77</v>
      </c>
      <c r="O13" s="100">
        <v>30.49</v>
      </c>
      <c r="P13" s="99">
        <f>[1]Irrigated!M6</f>
        <v>29.89</v>
      </c>
      <c r="Q13" s="101">
        <f>[1]Irrigated!N6</f>
        <v>28.99</v>
      </c>
      <c r="R13" s="102">
        <v>28.99</v>
      </c>
      <c r="S13" s="103">
        <f>[1]Irrigated!O6</f>
        <v>28.23</v>
      </c>
      <c r="T13" s="104">
        <f>[1]Irrigated!P6</f>
        <v>29.56</v>
      </c>
      <c r="U13" s="105">
        <f>[1]Irrigated!Q6</f>
        <v>28.58</v>
      </c>
      <c r="V13" s="98">
        <f>[1]Irrigated!R6</f>
        <v>24.35</v>
      </c>
      <c r="W13" s="98">
        <f>[1]Irrigated!S6</f>
        <v>29.13</v>
      </c>
      <c r="X13" s="98">
        <v>35.19</v>
      </c>
      <c r="Y13" s="98">
        <v>44.98</v>
      </c>
      <c r="Z13" s="98">
        <v>56.33</v>
      </c>
      <c r="AA13" s="98">
        <v>68.25</v>
      </c>
      <c r="AB13" s="106">
        <v>81.56</v>
      </c>
      <c r="AC13" s="106">
        <v>91.52</v>
      </c>
      <c r="AD13" s="106">
        <v>106.49</v>
      </c>
      <c r="AE13" s="106">
        <v>109.27</v>
      </c>
      <c r="AF13" s="106">
        <v>107.84</v>
      </c>
      <c r="AG13" s="106">
        <v>100.38</v>
      </c>
      <c r="AH13" s="107">
        <v>90.98</v>
      </c>
      <c r="AI13" s="107">
        <v>83.66</v>
      </c>
      <c r="AJ13" s="107">
        <v>75.75</v>
      </c>
      <c r="AK13" s="90">
        <f t="shared" si="2"/>
        <v>167</v>
      </c>
      <c r="AL13" s="90">
        <f t="shared" si="3"/>
        <v>174</v>
      </c>
      <c r="AM13" s="108">
        <f t="shared" si="4"/>
        <v>181</v>
      </c>
      <c r="AN13" s="91">
        <f t="shared" si="5"/>
        <v>197</v>
      </c>
      <c r="AO13" s="108">
        <f t="shared" si="6"/>
        <v>202</v>
      </c>
      <c r="AP13" s="109">
        <f t="shared" si="7"/>
        <v>200</v>
      </c>
      <c r="AQ13" s="110">
        <f t="shared" si="0"/>
        <v>193</v>
      </c>
      <c r="AR13" s="110">
        <f t="shared" si="0"/>
        <v>193</v>
      </c>
      <c r="AS13" s="110">
        <f t="shared" si="8"/>
        <v>188</v>
      </c>
      <c r="AT13" s="110">
        <f t="shared" si="9"/>
        <v>197</v>
      </c>
      <c r="AU13" s="110">
        <f t="shared" si="10"/>
        <v>192</v>
      </c>
      <c r="AV13" s="119">
        <f>ROUND(V13/VLOOKUP($C13,CapRate,12),0)</f>
        <v>164</v>
      </c>
      <c r="AW13" s="109">
        <f>ROUND(W13/VLOOKUP($C13,CapRate,13),0)</f>
        <v>196</v>
      </c>
      <c r="AX13" s="109">
        <f>ROUND(X13/VLOOKUP($C13,CapRate,14),0)</f>
        <v>237</v>
      </c>
      <c r="AY13" s="109">
        <f>ROUND(Y13/VLOOKUP($C13,CapRate,15),0)</f>
        <v>304</v>
      </c>
      <c r="AZ13" s="109">
        <f>ROUND(Z13/VLOOKUP($C13,CapRate,16),0)</f>
        <v>381</v>
      </c>
      <c r="BA13" s="109">
        <f>ROUND(AA13/VLOOKUP($C13,CapRate,17),0)</f>
        <v>460</v>
      </c>
      <c r="BB13" s="109">
        <f>ROUND(AB13/VLOOKUP($C13,CapRate,18),0)</f>
        <v>546</v>
      </c>
      <c r="BC13" s="109">
        <f>ROUND(AC13/VLOOKUP($C13,CapRate,19),0)</f>
        <v>606</v>
      </c>
      <c r="BD13" s="111">
        <f>ROUND(AD13/VLOOKUP($C13,CapRate,20),0)</f>
        <v>704</v>
      </c>
      <c r="BE13" s="111">
        <f>ROUND(AE13/VLOOKUP($C13,CapRate,21),0)</f>
        <v>720</v>
      </c>
      <c r="BF13" s="112">
        <f>ROUND(AF13/VLOOKUP($C13,CapRate,22),0)</f>
        <v>708</v>
      </c>
      <c r="BG13" s="112">
        <f>ROUND(AG13/VLOOKUP($C13,CapRate,23),0)</f>
        <v>654</v>
      </c>
      <c r="BH13" s="112">
        <f>ROUND(AH13/VLOOKUP($C13,CapRate,24),0)</f>
        <v>589</v>
      </c>
      <c r="BI13" s="112">
        <f>ROUND(AI13/VLOOKUP($C13,CapRate,25),0)</f>
        <v>538</v>
      </c>
      <c r="BJ13" s="112">
        <f>ROUND(AJ13/VLOOKUP($C13,CapRate,26),6)</f>
        <v>486.51252399999998</v>
      </c>
      <c r="BK13" s="113">
        <f t="shared" si="1"/>
        <v>-9.5701628252788162E-2</v>
      </c>
      <c r="BL13" s="114">
        <f>((F11*BK11)+(F12*BK12)+(F13*BK13))</f>
        <v>-3.7083379463932226E-2</v>
      </c>
      <c r="BM13" s="120"/>
      <c r="BN13" s="115"/>
      <c r="BO13" s="115">
        <f>BK13</f>
        <v>-9.5701628252788162E-2</v>
      </c>
      <c r="BP13" s="116"/>
      <c r="BQ13" s="90"/>
      <c r="BR13" s="9" t="s">
        <v>45</v>
      </c>
      <c r="BX13" s="121"/>
    </row>
    <row r="14" spans="1:77" ht="15.9" customHeight="1" thickTop="1">
      <c r="A14" s="54">
        <v>10</v>
      </c>
      <c r="B14" s="22"/>
      <c r="C14" s="8" t="s">
        <v>46</v>
      </c>
      <c r="D14" s="23" t="s">
        <v>46</v>
      </c>
      <c r="E14" s="8" t="s">
        <v>39</v>
      </c>
      <c r="F14" s="55">
        <f>[1]AcreSummary!M7</f>
        <v>0.46067189735110098</v>
      </c>
      <c r="G14" s="79"/>
      <c r="H14" s="117"/>
      <c r="I14" s="57">
        <f>[1]Native!E5</f>
        <v>5.71</v>
      </c>
      <c r="J14" s="58">
        <f>[1]Native!F5</f>
        <v>5.74</v>
      </c>
      <c r="K14" s="80">
        <f>[1]Native!G5</f>
        <v>5.89</v>
      </c>
      <c r="L14" s="68">
        <f>[1]Native!H5</f>
        <v>6.15</v>
      </c>
      <c r="M14" s="58">
        <f>[1]Native!I5</f>
        <v>6.34</v>
      </c>
      <c r="N14" s="81">
        <f>[1]Native!J5</f>
        <v>6.51</v>
      </c>
      <c r="O14" s="62">
        <v>6.51</v>
      </c>
      <c r="P14" s="81">
        <f>[1]Native!K5</f>
        <v>6.56</v>
      </c>
      <c r="Q14" s="82">
        <f>[1]Native!L5</f>
        <v>6.1</v>
      </c>
      <c r="R14" s="83">
        <v>6.1</v>
      </c>
      <c r="S14" s="84">
        <f>[1]Native!M5</f>
        <v>5.71</v>
      </c>
      <c r="T14" s="66">
        <f>[1]Native!N5</f>
        <v>5.29</v>
      </c>
      <c r="U14" s="67">
        <f>[1]Native!O5</f>
        <v>4.87</v>
      </c>
      <c r="V14" s="68">
        <f>[1]Native!P5</f>
        <v>0.91</v>
      </c>
      <c r="W14" s="68">
        <f>[1]Native!Q5</f>
        <v>0.78</v>
      </c>
      <c r="X14" s="68">
        <v>1.24</v>
      </c>
      <c r="Y14" s="68">
        <v>1.78</v>
      </c>
      <c r="Z14" s="68">
        <v>3.02</v>
      </c>
      <c r="AA14" s="68">
        <v>4.34</v>
      </c>
      <c r="AB14" s="69">
        <v>5.53</v>
      </c>
      <c r="AC14" s="69">
        <v>6.63</v>
      </c>
      <c r="AD14" s="69">
        <v>7.52</v>
      </c>
      <c r="AE14" s="69">
        <v>8.34</v>
      </c>
      <c r="AF14" s="69">
        <v>8.57</v>
      </c>
      <c r="AG14" s="69">
        <v>8.75</v>
      </c>
      <c r="AH14" s="70">
        <v>8.73</v>
      </c>
      <c r="AI14" s="70">
        <v>8.58</v>
      </c>
      <c r="AJ14" s="70">
        <v>8.7799999999999994</v>
      </c>
      <c r="AK14" s="8">
        <f t="shared" si="2"/>
        <v>38</v>
      </c>
      <c r="AL14" s="8">
        <f t="shared" si="3"/>
        <v>39</v>
      </c>
      <c r="AM14" s="85">
        <f t="shared" si="4"/>
        <v>40</v>
      </c>
      <c r="AN14" s="23">
        <f t="shared" si="5"/>
        <v>42</v>
      </c>
      <c r="AO14" s="85">
        <f t="shared" si="6"/>
        <v>44</v>
      </c>
      <c r="AP14" s="72">
        <f t="shared" si="7"/>
        <v>45</v>
      </c>
      <c r="AQ14" s="71">
        <f t="shared" si="0"/>
        <v>42</v>
      </c>
      <c r="AR14" s="71">
        <f t="shared" si="0"/>
        <v>42</v>
      </c>
      <c r="AS14" s="71">
        <f t="shared" si="8"/>
        <v>39</v>
      </c>
      <c r="AT14" s="71">
        <f t="shared" si="9"/>
        <v>36</v>
      </c>
      <c r="AU14" s="71">
        <f t="shared" si="10"/>
        <v>33</v>
      </c>
      <c r="AV14" s="122">
        <f>IF(ROUND(V14/VLOOKUP($C14,CapRate,12),0)&gt;10,V14/VLOOKUP($C14,CapRate,12),10)</f>
        <v>10</v>
      </c>
      <c r="AW14" s="72">
        <f>IF(ROUND(W14/VLOOKUP($C14,CapRate,13),0)&gt;10,W14/VLOOKUP($C14,CapRate,13),10)</f>
        <v>10</v>
      </c>
      <c r="AX14" s="72">
        <f>IF(ROUND(X14/VLOOKUP($C14,CapRate,14),0)&gt;10,X14/VLOOKUP($C14,CapRate,14),10)</f>
        <v>10</v>
      </c>
      <c r="AY14" s="72">
        <f>IF(ROUND(Y14/VLOOKUP($C14,CapRate,15),0)&gt;10,Y14/VLOOKUP($C14,CapRate,15),10)</f>
        <v>12.043301759133966</v>
      </c>
      <c r="AZ14" s="72">
        <f>IF(ROUND(Z14/VLOOKUP($C14,CapRate,16),0)&gt;10,Z14/VLOOKUP($C14,CapRate,16),10)</f>
        <v>20.295698924731184</v>
      </c>
      <c r="BA14" s="72">
        <f>IF(ROUND(AA14/VLOOKUP($C14,CapRate,17),0)&gt;10,AA14/VLOOKUP($C14,CapRate,17),10)</f>
        <v>28.818061088977419</v>
      </c>
      <c r="BB14" s="72">
        <f>IF(ROUND(AB14/VLOOKUP($C14,CapRate,18),0)&gt;10,AB14/VLOOKUP($C14,CapRate,18),10)</f>
        <v>36.381578947368425</v>
      </c>
      <c r="BC14" s="72">
        <f>IF(ROUND(AC14/VLOOKUP($C14,CapRate,19),0)&gt;10,AC14/VLOOKUP($C14,CapRate,19),10)</f>
        <v>43.24853228962818</v>
      </c>
      <c r="BD14" s="86">
        <f>IF(ROUND(AD14/VLOOKUP($C14,CapRate,20),0)&gt;10,AD14/VLOOKUP($C14,CapRate,20),10)</f>
        <v>48.894668400520153</v>
      </c>
      <c r="BE14" s="86">
        <f>IF(ROUND(AE14/VLOOKUP($C14,CapRate,21),0)&gt;10,AE14/VLOOKUP($C14,CapRate,21),10)</f>
        <v>54.191033138401558</v>
      </c>
      <c r="BF14" s="118">
        <f>IF(ROUND(AF14/VLOOKUP($C14,CapRate,22),0)&gt;10,AF14/VLOOKUP($C14,CapRate,22),10)</f>
        <v>55.794270833333343</v>
      </c>
      <c r="BG14" s="118">
        <f>IF(ROUND(AG14/VLOOKUP($C14,CapRate,23),0)&gt;10,AG14/VLOOKUP($C14,CapRate,23),10)</f>
        <v>57.152188112344867</v>
      </c>
      <c r="BH14" s="118">
        <f>IF(ROUND(AH14/VLOOKUP($C14,CapRate,24),0)&gt;10,AH14/VLOOKUP($C14,CapRate,24),10)</f>
        <v>57.358738501971089</v>
      </c>
      <c r="BI14" s="118">
        <f>IF(ROUND(AI14/VLOOKUP($C14,CapRate,25),0)&gt;10,AI14/VLOOKUP($C14,CapRate,25),10)</f>
        <v>56.521739130434788</v>
      </c>
      <c r="BJ14" s="118">
        <f>IF(ROUND(AJ14/VLOOKUP($C14,CapRate,26),0)&gt;10,AJ14/VLOOKUP($C14,CapRate,26),10)</f>
        <v>58.45539280958721</v>
      </c>
      <c r="BK14" s="75">
        <f t="shared" si="1"/>
        <v>3.4210795861927545E-2</v>
      </c>
      <c r="BL14" s="76"/>
      <c r="BM14" s="77">
        <f>BK14</f>
        <v>3.4210795861927545E-2</v>
      </c>
      <c r="BN14" s="77"/>
      <c r="BO14" s="77"/>
      <c r="BP14" s="88"/>
    </row>
    <row r="15" spans="1:77" ht="15.9" customHeight="1">
      <c r="A15" s="54">
        <v>10</v>
      </c>
      <c r="B15" s="22"/>
      <c r="C15" s="8" t="s">
        <v>46</v>
      </c>
      <c r="D15" s="23"/>
      <c r="E15" s="8" t="s">
        <v>40</v>
      </c>
      <c r="F15" s="55">
        <f>[1]AcreSummary!J7</f>
        <v>0.50978357416815667</v>
      </c>
      <c r="G15" s="79"/>
      <c r="H15" s="117"/>
      <c r="I15" s="57">
        <f>[1]Dry!E7</f>
        <v>12.52</v>
      </c>
      <c r="J15" s="58">
        <f>[1]Dry!F7</f>
        <v>11.85</v>
      </c>
      <c r="K15" s="80">
        <f>[1]Dry!G7</f>
        <v>12.55</v>
      </c>
      <c r="L15" s="68">
        <f>[1]Dry!H7</f>
        <v>13.4</v>
      </c>
      <c r="M15" s="58">
        <f>[1]Dry!I7</f>
        <v>14.59</v>
      </c>
      <c r="N15" s="81">
        <f>[1]Dry!J7</f>
        <v>15.94</v>
      </c>
      <c r="O15" s="62">
        <v>16.07</v>
      </c>
      <c r="P15" s="81">
        <f>[1]Dry!K7</f>
        <v>16.73</v>
      </c>
      <c r="Q15" s="82">
        <f>[1]Dry!L7</f>
        <v>17.48</v>
      </c>
      <c r="R15" s="83">
        <f>Q15*0.95</f>
        <v>16.605999999999998</v>
      </c>
      <c r="S15" s="84">
        <f>[1]Dry!N7</f>
        <v>17.29</v>
      </c>
      <c r="T15" s="66">
        <f>[1]Dry!O7</f>
        <v>16.96</v>
      </c>
      <c r="U15" s="67">
        <f>[1]Dry!P7</f>
        <v>16.09</v>
      </c>
      <c r="V15" s="68">
        <f>[1]Dry!Q7</f>
        <v>11.35</v>
      </c>
      <c r="W15" s="68">
        <f>[1]Dry!R7</f>
        <v>13.15</v>
      </c>
      <c r="X15" s="68">
        <f>[1]Dry!S7</f>
        <v>16.350000000000001</v>
      </c>
      <c r="Y15" s="68">
        <f>[1]Dry!T7</f>
        <v>21.52</v>
      </c>
      <c r="Z15" s="68">
        <f>[1]Dry!U7</f>
        <v>25.66</v>
      </c>
      <c r="AA15" s="68">
        <v>30.44</v>
      </c>
      <c r="AB15" s="69">
        <v>36.57</v>
      </c>
      <c r="AC15" s="69">
        <v>40.26</v>
      </c>
      <c r="AD15" s="69">
        <v>42.26</v>
      </c>
      <c r="AE15" s="69">
        <v>43.1</v>
      </c>
      <c r="AF15" s="69">
        <v>42.04</v>
      </c>
      <c r="AG15" s="69">
        <v>39.299999999999997</v>
      </c>
      <c r="AH15" s="70">
        <v>37.51</v>
      </c>
      <c r="AI15" s="70">
        <v>33.840000000000003</v>
      </c>
      <c r="AJ15" s="70">
        <v>32.89</v>
      </c>
      <c r="AK15" s="8">
        <f t="shared" si="2"/>
        <v>78</v>
      </c>
      <c r="AL15" s="8">
        <f t="shared" si="3"/>
        <v>82</v>
      </c>
      <c r="AM15" s="85">
        <f t="shared" si="4"/>
        <v>87</v>
      </c>
      <c r="AN15" s="23">
        <f t="shared" si="5"/>
        <v>96</v>
      </c>
      <c r="AO15" s="85">
        <f t="shared" si="6"/>
        <v>110</v>
      </c>
      <c r="AP15" s="72">
        <f t="shared" si="7"/>
        <v>115</v>
      </c>
      <c r="AQ15" s="71">
        <f t="shared" si="0"/>
        <v>119</v>
      </c>
      <c r="AR15" s="71">
        <f t="shared" si="0"/>
        <v>113</v>
      </c>
      <c r="AS15" s="71">
        <f t="shared" si="8"/>
        <v>118</v>
      </c>
      <c r="AT15" s="71">
        <f t="shared" si="9"/>
        <v>116</v>
      </c>
      <c r="AU15" s="71">
        <f t="shared" si="10"/>
        <v>110</v>
      </c>
      <c r="AV15" s="72">
        <f>ROUND(V15/VLOOKUP($C15,CapRate,12),0)</f>
        <v>78</v>
      </c>
      <c r="AW15" s="72">
        <f>ROUND(W15/VLOOKUP($C15,CapRate,13),0)</f>
        <v>90</v>
      </c>
      <c r="AX15" s="72">
        <f>ROUND(X15/VLOOKUP($C15,CapRate,14),0)</f>
        <v>112</v>
      </c>
      <c r="AY15" s="72">
        <f>ROUND(Y15/VLOOKUP($C15,CapRate,15),0)</f>
        <v>146</v>
      </c>
      <c r="AZ15" s="72">
        <f>ROUND(Z15/VLOOKUP($C15,CapRate,16),0)</f>
        <v>172</v>
      </c>
      <c r="BA15" s="72">
        <f>ROUND(AA15/VLOOKUP($C15,CapRate,17),0)</f>
        <v>202</v>
      </c>
      <c r="BB15" s="72">
        <f>ROUND(AB15/VLOOKUP($C15,CapRate,18),0)</f>
        <v>241</v>
      </c>
      <c r="BC15" s="72">
        <f>ROUND(AC15/VLOOKUP($C15,CapRate,19),0)</f>
        <v>263</v>
      </c>
      <c r="BD15" s="86">
        <f>ROUND(AD15/VLOOKUP($C15,CapRate,20),0)</f>
        <v>275</v>
      </c>
      <c r="BE15" s="86">
        <f>ROUND(AE15/VLOOKUP($C15,CapRate,21),0)</f>
        <v>280</v>
      </c>
      <c r="BF15" s="118">
        <f>ROUND(AF15/VLOOKUP($C15,CapRate,22),0)</f>
        <v>274</v>
      </c>
      <c r="BG15" s="118">
        <f>ROUND(AG15/VLOOKUP($C15,CapRate,23),0)</f>
        <v>257</v>
      </c>
      <c r="BH15" s="118">
        <f>ROUND(AH15/VLOOKUP($C15,CapRate,24),0)</f>
        <v>246</v>
      </c>
      <c r="BI15" s="118">
        <f>ROUND(AI15/VLOOKUP($C15,CapRate,25),0)</f>
        <v>223</v>
      </c>
      <c r="BJ15" s="118">
        <f>ROUND(AJ15/VLOOKUP($C15,CapRate,26),0)</f>
        <v>219</v>
      </c>
      <c r="BK15" s="87">
        <f t="shared" si="1"/>
        <v>-1.7937219730941756E-2</v>
      </c>
      <c r="BL15" s="76"/>
      <c r="BM15" s="77"/>
      <c r="BN15" s="77">
        <f>BK15</f>
        <v>-1.7937219730941756E-2</v>
      </c>
      <c r="BO15" s="77"/>
      <c r="BP15" s="88"/>
    </row>
    <row r="16" spans="1:77" ht="15.9" customHeight="1" thickBot="1">
      <c r="A16" s="89">
        <v>10</v>
      </c>
      <c r="B16" s="22"/>
      <c r="C16" s="90" t="s">
        <v>46</v>
      </c>
      <c r="D16" s="91"/>
      <c r="E16" s="90" t="s">
        <v>41</v>
      </c>
      <c r="F16" s="92">
        <f>[1]AcreSummary!K7</f>
        <v>2.9544528480742391E-2</v>
      </c>
      <c r="G16" s="93">
        <f>[1]Irrigated!D7</f>
        <v>100</v>
      </c>
      <c r="H16" s="94">
        <f>[1]Irrigated!E7</f>
        <v>0.57999999999999996</v>
      </c>
      <c r="I16" s="95"/>
      <c r="J16" s="96">
        <f>[1]Irrigated!H7</f>
        <v>35.21</v>
      </c>
      <c r="K16" s="97">
        <f>[1]Irrigated!I7</f>
        <v>37.729999999999997</v>
      </c>
      <c r="L16" s="98">
        <f>[1]Irrigated!J7</f>
        <v>41.15</v>
      </c>
      <c r="M16" s="96">
        <f>[1]Irrigated!K7</f>
        <v>45.15</v>
      </c>
      <c r="N16" s="99">
        <f>[1]Irrigated!L7</f>
        <v>46.05</v>
      </c>
      <c r="O16" s="100">
        <v>40.46</v>
      </c>
      <c r="P16" s="99">
        <f>[1]Irrigated!M7</f>
        <v>40.01</v>
      </c>
      <c r="Q16" s="101">
        <f>[1]Irrigated!N7</f>
        <v>38.74</v>
      </c>
      <c r="R16" s="102">
        <v>45.3</v>
      </c>
      <c r="S16" s="103">
        <f>[1]Irrigated!O7</f>
        <v>37.6</v>
      </c>
      <c r="T16" s="104">
        <f>[1]Irrigated!P7</f>
        <v>38.61</v>
      </c>
      <c r="U16" s="105">
        <f>[1]Irrigated!Q7</f>
        <v>36</v>
      </c>
      <c r="V16" s="98">
        <f>[1]Irrigated!R7</f>
        <v>32.99</v>
      </c>
      <c r="W16" s="98">
        <f>[1]Irrigated!S7</f>
        <v>37.950000000000003</v>
      </c>
      <c r="X16" s="98">
        <v>44.08</v>
      </c>
      <c r="Y16" s="98">
        <v>53.82</v>
      </c>
      <c r="Z16" s="98">
        <v>65.180000000000007</v>
      </c>
      <c r="AA16" s="98">
        <v>77.16</v>
      </c>
      <c r="AB16" s="106">
        <v>89.49</v>
      </c>
      <c r="AC16" s="106">
        <v>100</v>
      </c>
      <c r="AD16" s="106">
        <v>105.99</v>
      </c>
      <c r="AE16" s="106">
        <v>108.71</v>
      </c>
      <c r="AF16" s="106">
        <v>107.32</v>
      </c>
      <c r="AG16" s="106">
        <v>99.88</v>
      </c>
      <c r="AH16" s="107">
        <v>90.5</v>
      </c>
      <c r="AI16" s="107">
        <v>83.66</v>
      </c>
      <c r="AJ16" s="107">
        <v>72.88</v>
      </c>
      <c r="AK16" s="90">
        <f t="shared" si="2"/>
        <v>231</v>
      </c>
      <c r="AL16" s="90">
        <f t="shared" si="3"/>
        <v>247</v>
      </c>
      <c r="AM16" s="108">
        <f t="shared" si="4"/>
        <v>266</v>
      </c>
      <c r="AN16" s="91">
        <f t="shared" si="5"/>
        <v>296</v>
      </c>
      <c r="AO16" s="108">
        <f t="shared" si="6"/>
        <v>276</v>
      </c>
      <c r="AP16" s="109">
        <f t="shared" si="7"/>
        <v>275</v>
      </c>
      <c r="AQ16" s="110">
        <f t="shared" si="0"/>
        <v>264</v>
      </c>
      <c r="AR16" s="110">
        <f t="shared" si="0"/>
        <v>309</v>
      </c>
      <c r="AS16" s="110">
        <f t="shared" si="8"/>
        <v>256</v>
      </c>
      <c r="AT16" s="110">
        <f t="shared" si="9"/>
        <v>264</v>
      </c>
      <c r="AU16" s="110">
        <f t="shared" si="10"/>
        <v>247</v>
      </c>
      <c r="AV16" s="109">
        <f>ROUND(V16/VLOOKUP($C16,CapRate,12),0)</f>
        <v>228</v>
      </c>
      <c r="AW16" s="109">
        <f>ROUND(W16/VLOOKUP($C16,CapRate,13),0)</f>
        <v>260</v>
      </c>
      <c r="AX16" s="109">
        <f>ROUND(X16/VLOOKUP($C16,CapRate,14),0)</f>
        <v>301</v>
      </c>
      <c r="AY16" s="109">
        <f>ROUND(Y16/VLOOKUP($C16,CapRate,15),0)</f>
        <v>364</v>
      </c>
      <c r="AZ16" s="109">
        <f>ROUND(Z16/VLOOKUP($C16,CapRate,16),0)</f>
        <v>438</v>
      </c>
      <c r="BA16" s="109">
        <f>ROUND(AA16/VLOOKUP($C16,CapRate,17),0)</f>
        <v>512</v>
      </c>
      <c r="BB16" s="109">
        <f>ROUND(AB16/VLOOKUP($C16,CapRate,18),0)</f>
        <v>589</v>
      </c>
      <c r="BC16" s="109">
        <f>ROUND(AC16/VLOOKUP($C16,CapRate,19),0)</f>
        <v>652</v>
      </c>
      <c r="BD16" s="111">
        <f>ROUND(AD16/VLOOKUP($C16,CapRate,20),0)</f>
        <v>689</v>
      </c>
      <c r="BE16" s="111">
        <f>ROUND(AE16/VLOOKUP($C16,CapRate,21),0)</f>
        <v>706</v>
      </c>
      <c r="BF16" s="112">
        <f>ROUND(AF16/VLOOKUP($C16,CapRate,22),0)</f>
        <v>699</v>
      </c>
      <c r="BG16" s="112">
        <f>ROUND(AG16/VLOOKUP($C16,CapRate,23),0)</f>
        <v>652</v>
      </c>
      <c r="BH16" s="112">
        <f>ROUND(AH16/VLOOKUP($C16,CapRate,24),0)</f>
        <v>595</v>
      </c>
      <c r="BI16" s="112">
        <f>ROUND(AI16/VLOOKUP($C16,CapRate,25),0)</f>
        <v>551</v>
      </c>
      <c r="BJ16" s="112">
        <f>ROUND(AJ16/VLOOKUP($C16,CapRate,26),0)</f>
        <v>485</v>
      </c>
      <c r="BK16" s="113">
        <f t="shared" si="1"/>
        <v>-0.11978221415607981</v>
      </c>
      <c r="BL16" s="114">
        <f>((F14*BK14)+(F15*BK15)+(F16*BK16))</f>
        <v>3.0769432169056028E-3</v>
      </c>
      <c r="BM16" s="120"/>
      <c r="BN16" s="115"/>
      <c r="BO16" s="115">
        <f>BK16</f>
        <v>-0.11978221415607981</v>
      </c>
      <c r="BP16" s="116"/>
      <c r="BQ16" s="90"/>
      <c r="BX16" s="121"/>
    </row>
    <row r="17" spans="1:69" ht="15.9" customHeight="1" thickTop="1">
      <c r="A17" s="54">
        <v>10</v>
      </c>
      <c r="B17" s="22"/>
      <c r="C17" s="123" t="s">
        <v>47</v>
      </c>
      <c r="D17" s="124" t="s">
        <v>47</v>
      </c>
      <c r="E17" s="8" t="s">
        <v>39</v>
      </c>
      <c r="F17" s="55">
        <f>[1]AcreSummary!M8</f>
        <v>0.43082098263157848</v>
      </c>
      <c r="G17" s="79"/>
      <c r="H17" s="117"/>
      <c r="I17" s="57">
        <f>[1]Native!E6</f>
        <v>4.3600000000000003</v>
      </c>
      <c r="J17" s="58">
        <f>[1]Native!F6</f>
        <v>4.28</v>
      </c>
      <c r="K17" s="80">
        <f>[1]Native!G6</f>
        <v>4.38</v>
      </c>
      <c r="L17" s="68">
        <f>[1]Native!H6</f>
        <v>4.57</v>
      </c>
      <c r="M17" s="58">
        <f>[1]Native!I6</f>
        <v>4.68</v>
      </c>
      <c r="N17" s="81">
        <f>[1]Native!J6</f>
        <v>4.7699999999999996</v>
      </c>
      <c r="O17" s="62">
        <v>4.71</v>
      </c>
      <c r="P17" s="81">
        <f>[1]Native!K6</f>
        <v>4.79</v>
      </c>
      <c r="Q17" s="82">
        <f>[1]Native!L6</f>
        <v>4.32</v>
      </c>
      <c r="R17" s="83">
        <v>4.32</v>
      </c>
      <c r="S17" s="84">
        <f>[1]Native!M6</f>
        <v>3.91</v>
      </c>
      <c r="T17" s="66">
        <f>[1]Native!N6</f>
        <v>3.46</v>
      </c>
      <c r="U17" s="67">
        <f>[1]Native!O6</f>
        <v>3.01</v>
      </c>
      <c r="V17" s="68">
        <f>[1]Native!P6</f>
        <v>-1.36</v>
      </c>
      <c r="W17" s="68">
        <f>[1]Native!Q6</f>
        <v>-1.64</v>
      </c>
      <c r="X17" s="68">
        <v>-1.37</v>
      </c>
      <c r="Y17" s="68">
        <v>-1.02</v>
      </c>
      <c r="Z17" s="68">
        <v>-0.02</v>
      </c>
      <c r="AA17" s="68">
        <v>1.05</v>
      </c>
      <c r="AB17" s="69">
        <v>2.1</v>
      </c>
      <c r="AC17" s="69">
        <v>3.09</v>
      </c>
      <c r="AD17" s="69">
        <v>3.87</v>
      </c>
      <c r="AE17" s="69">
        <v>4.59</v>
      </c>
      <c r="AF17" s="69">
        <v>4.72</v>
      </c>
      <c r="AG17" s="69">
        <v>4.83</v>
      </c>
      <c r="AH17" s="70">
        <v>4.75</v>
      </c>
      <c r="AI17" s="70">
        <v>4.53</v>
      </c>
      <c r="AJ17" s="70">
        <v>4.67</v>
      </c>
      <c r="AK17" s="8">
        <f t="shared" si="2"/>
        <v>28</v>
      </c>
      <c r="AL17" s="8">
        <f t="shared" si="3"/>
        <v>28</v>
      </c>
      <c r="AM17" s="85">
        <f t="shared" si="4"/>
        <v>29</v>
      </c>
      <c r="AN17" s="23">
        <f t="shared" si="5"/>
        <v>31</v>
      </c>
      <c r="AO17" s="85">
        <f t="shared" si="6"/>
        <v>32</v>
      </c>
      <c r="AP17" s="72">
        <f t="shared" si="7"/>
        <v>33</v>
      </c>
      <c r="AQ17" s="71">
        <f t="shared" si="0"/>
        <v>30</v>
      </c>
      <c r="AR17" s="71">
        <f t="shared" si="0"/>
        <v>30</v>
      </c>
      <c r="AS17" s="71">
        <f t="shared" si="8"/>
        <v>27</v>
      </c>
      <c r="AT17" s="71">
        <f t="shared" si="9"/>
        <v>24</v>
      </c>
      <c r="AU17" s="71">
        <f t="shared" si="10"/>
        <v>21</v>
      </c>
      <c r="AV17" s="122">
        <f>IF(ROUND(V17/VLOOKUP($C17,CapRate,12),0)&gt;10,V17/VLOOKUP($C17,CapRate,12),10)</f>
        <v>10</v>
      </c>
      <c r="AW17" s="72">
        <f>IF(ROUND(W17/VLOOKUP($C17,CapRate,13),0)&gt;10,W17/VLOOKUP($C17,CapRate,13),10)</f>
        <v>10</v>
      </c>
      <c r="AX17" s="72">
        <f>IF(ROUND(X17/VLOOKUP($C17,CapRate,14),0)&gt;10,X17/VLOOKUP($C17,CapRate,14),10)</f>
        <v>10</v>
      </c>
      <c r="AY17" s="72">
        <f>IF(ROUND(Y17/VLOOKUP($C17,CapRate,15),0)&gt;10,Y17/VLOOKUP($C17,CapRate,15),10)</f>
        <v>10</v>
      </c>
      <c r="AZ17" s="72">
        <f>IF(ROUND(Z17/VLOOKUP($C17,CapRate,16),0)&gt;10,Z17/VLOOKUP($C17,CapRate,16),10)</f>
        <v>10</v>
      </c>
      <c r="BA17" s="72">
        <f>IF(ROUND(AA17/VLOOKUP($C17,CapRate,17),0)&gt;10,AA17/VLOOKUP($C17,CapRate,17),10)</f>
        <v>10</v>
      </c>
      <c r="BB17" s="72">
        <f>IF(ROUND(AB17/VLOOKUP($C17,CapRate,18),0)&gt;10,AB17/VLOOKUP($C17,CapRate,18),10)</f>
        <v>13.972055888223554</v>
      </c>
      <c r="BC17" s="72">
        <f>IF(ROUND(AC17/VLOOKUP($C17,CapRate,19),0)&gt;10,AC17/VLOOKUP($C17,CapRate,19),10)</f>
        <v>20.517928286852587</v>
      </c>
      <c r="BD17" s="86">
        <f>IF(ROUND(AD17/VLOOKUP($C17,CapRate,20),0)&gt;10,AD17/VLOOKUP($C17,CapRate,20),10)</f>
        <v>25.731382978723403</v>
      </c>
      <c r="BE17" s="86">
        <f>IF(ROUND(AE17/VLOOKUP($C17,CapRate,21),0)&gt;10,AE17/VLOOKUP($C17,CapRate,21),10)</f>
        <v>30.640854472630174</v>
      </c>
      <c r="BF17" s="118">
        <f>IF(ROUND(AF17/VLOOKUP($C17,CapRate,22),0)&gt;10,AF17/VLOOKUP($C17,CapRate,22),10)</f>
        <v>31.805929919137462</v>
      </c>
      <c r="BG17" s="118">
        <f>IF(ROUND(AG17/VLOOKUP($C17,CapRate,23),0)&gt;10,AG17/VLOOKUP($C17,CapRate,23),10)</f>
        <v>32.8125</v>
      </c>
      <c r="BH17" s="118">
        <f>IF(ROUND(AH17/VLOOKUP($C17,CapRate,24),0)&gt;10,AH17/VLOOKUP($C17,CapRate,24),10)</f>
        <v>32.578875171467764</v>
      </c>
      <c r="BI17" s="118">
        <f>IF(ROUND(AI17/VLOOKUP($C17,CapRate,25),0)&gt;10,AI17/VLOOKUP($C17,CapRate,25),10)</f>
        <v>30.963773069036225</v>
      </c>
      <c r="BJ17" s="118">
        <f>IF(ROUND(AJ17/VLOOKUP($C17,CapRate,26),0)&gt;10,AJ17/VLOOKUP($C17,CapRate,26),10)</f>
        <v>31.986301369863014</v>
      </c>
      <c r="BK17" s="75">
        <f t="shared" si="1"/>
        <v>3.3023375366657559E-2</v>
      </c>
      <c r="BL17" s="76"/>
      <c r="BM17" s="77">
        <f>BK17</f>
        <v>3.3023375366657559E-2</v>
      </c>
      <c r="BN17" s="77"/>
      <c r="BO17" s="77"/>
      <c r="BP17" s="88"/>
    </row>
    <row r="18" spans="1:69" ht="15.9" customHeight="1">
      <c r="A18" s="54">
        <v>10</v>
      </c>
      <c r="B18" s="22"/>
      <c r="C18" s="125" t="s">
        <v>47</v>
      </c>
      <c r="D18" s="23"/>
      <c r="E18" s="8" t="s">
        <v>40</v>
      </c>
      <c r="F18" s="55">
        <f>[1]AcreSummary!J8</f>
        <v>0.53803480180200658</v>
      </c>
      <c r="G18" s="79"/>
      <c r="H18" s="117"/>
      <c r="I18" s="57">
        <f>[1]Dry!E8</f>
        <v>12.54</v>
      </c>
      <c r="J18" s="58">
        <f>[1]Dry!F8</f>
        <v>12.5</v>
      </c>
      <c r="K18" s="80">
        <f>[1]Dry!G8</f>
        <v>12.58</v>
      </c>
      <c r="L18" s="68">
        <f>[1]Dry!H8</f>
        <v>12.58</v>
      </c>
      <c r="M18" s="58">
        <f>[1]Dry!I8</f>
        <v>12.74</v>
      </c>
      <c r="N18" s="81">
        <f>[1]Dry!J8</f>
        <v>13.07</v>
      </c>
      <c r="O18" s="62">
        <v>13.05</v>
      </c>
      <c r="P18" s="81">
        <f>[1]Dry!K8</f>
        <v>13.26</v>
      </c>
      <c r="Q18" s="82">
        <f>[1]Dry!L8</f>
        <v>13.58</v>
      </c>
      <c r="R18" s="83">
        <f>Q18*0.95</f>
        <v>12.901</v>
      </c>
      <c r="S18" s="84">
        <f>[1]Dry!N8</f>
        <v>13.21</v>
      </c>
      <c r="T18" s="66">
        <f>[1]Dry!O8</f>
        <v>12.6</v>
      </c>
      <c r="U18" s="67">
        <f>[1]Dry!P8</f>
        <v>11.5</v>
      </c>
      <c r="V18" s="68">
        <f>[1]Dry!Q8</f>
        <v>6.82</v>
      </c>
      <c r="W18" s="68">
        <f>[1]Dry!R8</f>
        <v>8.14</v>
      </c>
      <c r="X18" s="68">
        <f>[1]Dry!S8</f>
        <v>10.66</v>
      </c>
      <c r="Y18" s="68">
        <f>[1]Dry!T8</f>
        <v>14.85</v>
      </c>
      <c r="Z18" s="68">
        <f>[1]Dry!U8</f>
        <v>18.22</v>
      </c>
      <c r="AA18" s="68">
        <v>22.38</v>
      </c>
      <c r="AB18" s="69">
        <v>26.67</v>
      </c>
      <c r="AC18" s="69">
        <v>30.27</v>
      </c>
      <c r="AD18" s="69">
        <v>32.64</v>
      </c>
      <c r="AE18" s="69">
        <v>33.57</v>
      </c>
      <c r="AF18" s="69">
        <v>33.090000000000003</v>
      </c>
      <c r="AG18" s="69">
        <v>31.39</v>
      </c>
      <c r="AH18" s="70">
        <v>30.01</v>
      </c>
      <c r="AI18" s="70">
        <v>26.6</v>
      </c>
      <c r="AJ18" s="70">
        <v>25</v>
      </c>
      <c r="AK18" s="8">
        <f t="shared" si="2"/>
        <v>81</v>
      </c>
      <c r="AL18" s="8">
        <f t="shared" si="3"/>
        <v>81</v>
      </c>
      <c r="AM18" s="85">
        <f t="shared" si="4"/>
        <v>81</v>
      </c>
      <c r="AN18" s="23">
        <f t="shared" si="5"/>
        <v>84</v>
      </c>
      <c r="AO18" s="85">
        <f t="shared" si="6"/>
        <v>89</v>
      </c>
      <c r="AP18" s="72">
        <f t="shared" si="7"/>
        <v>92</v>
      </c>
      <c r="AQ18" s="71">
        <f t="shared" si="0"/>
        <v>93</v>
      </c>
      <c r="AR18" s="71">
        <f t="shared" si="0"/>
        <v>89</v>
      </c>
      <c r="AS18" s="71">
        <f t="shared" si="8"/>
        <v>91</v>
      </c>
      <c r="AT18" s="71">
        <f t="shared" si="9"/>
        <v>86</v>
      </c>
      <c r="AU18" s="71">
        <f t="shared" si="10"/>
        <v>78</v>
      </c>
      <c r="AV18" s="72">
        <f>ROUND(V18/VLOOKUP($C18,CapRate,12),0)</f>
        <v>46</v>
      </c>
      <c r="AW18" s="72">
        <f>ROUND(W18/VLOOKUP($C18,CapRate,13),0)</f>
        <v>55</v>
      </c>
      <c r="AX18" s="72">
        <f>ROUND(X18/VLOOKUP($C18,CapRate,14),0)</f>
        <v>71</v>
      </c>
      <c r="AY18" s="72">
        <f>ROUND(Y18/VLOOKUP($C18,CapRate,15),0)</f>
        <v>99</v>
      </c>
      <c r="AZ18" s="72">
        <f>ROUND(Z18/VLOOKUP($C18,CapRate,16),0)</f>
        <v>121</v>
      </c>
      <c r="BA18" s="72">
        <f>ROUND(AA18/VLOOKUP($C18,CapRate,17),0)</f>
        <v>149</v>
      </c>
      <c r="BB18" s="72">
        <f>ROUND(AB18/VLOOKUP($C18,CapRate,18),0)</f>
        <v>177</v>
      </c>
      <c r="BC18" s="72">
        <f>ROUND(AC18/VLOOKUP($C18,CapRate,19),0)</f>
        <v>201</v>
      </c>
      <c r="BD18" s="86">
        <f>ROUND(AD18/VLOOKUP($C18,CapRate,20),0)</f>
        <v>217</v>
      </c>
      <c r="BE18" s="86">
        <f>ROUND(AE18/VLOOKUP($C18,CapRate,21),0)</f>
        <v>224</v>
      </c>
      <c r="BF18" s="118">
        <f>ROUND(AF18/VLOOKUP($C18,CapRate,22),0)</f>
        <v>223</v>
      </c>
      <c r="BG18" s="118">
        <f>ROUND(AG18/VLOOKUP($C18,CapRate,23),0)</f>
        <v>213</v>
      </c>
      <c r="BH18" s="118">
        <f>ROUND(AH18/VLOOKUP($C18,CapRate,24),0)</f>
        <v>206</v>
      </c>
      <c r="BI18" s="118">
        <f>ROUND(AI18/VLOOKUP($C18,CapRate,25),0)</f>
        <v>182</v>
      </c>
      <c r="BJ18" s="118">
        <f>ROUND(AJ18/VLOOKUP($C18,CapRate,26),0)</f>
        <v>171</v>
      </c>
      <c r="BK18" s="87">
        <f t="shared" si="1"/>
        <v>-6.0439560439560447E-2</v>
      </c>
      <c r="BL18" s="76"/>
      <c r="BM18" s="77"/>
      <c r="BN18" s="77">
        <f>BK18</f>
        <v>-6.0439560439560447E-2</v>
      </c>
      <c r="BO18" s="77"/>
      <c r="BP18" s="88"/>
    </row>
    <row r="19" spans="1:69" ht="15.9" customHeight="1" thickBot="1">
      <c r="A19" s="89">
        <v>10</v>
      </c>
      <c r="B19" s="22"/>
      <c r="C19" s="126" t="s">
        <v>47</v>
      </c>
      <c r="D19" s="91"/>
      <c r="E19" s="90" t="s">
        <v>41</v>
      </c>
      <c r="F19" s="92">
        <f>[1]AcreSummary!K8</f>
        <v>3.1144215566414946E-2</v>
      </c>
      <c r="G19" s="93">
        <f>[1]Irrigated!D8</f>
        <v>300</v>
      </c>
      <c r="H19" s="94">
        <f>[1]Irrigated!E8</f>
        <v>0.56000000000000005</v>
      </c>
      <c r="I19" s="95"/>
      <c r="J19" s="96">
        <f>[1]Irrigated!H8</f>
        <v>23.77</v>
      </c>
      <c r="K19" s="97">
        <f>[1]Irrigated!I8</f>
        <v>24.77</v>
      </c>
      <c r="L19" s="98">
        <f>[1]Irrigated!J8</f>
        <v>26.28</v>
      </c>
      <c r="M19" s="96">
        <f>[1]Irrigated!K8</f>
        <v>28.36</v>
      </c>
      <c r="N19" s="99">
        <f>[1]Irrigated!L8</f>
        <v>28.4</v>
      </c>
      <c r="O19" s="100">
        <v>28.03</v>
      </c>
      <c r="P19" s="99">
        <f>[1]Irrigated!M8</f>
        <v>27.46</v>
      </c>
      <c r="Q19" s="101">
        <f>[1]Irrigated!N8</f>
        <v>25.86</v>
      </c>
      <c r="R19" s="102">
        <v>25.86</v>
      </c>
      <c r="S19" s="103">
        <f>[1]Irrigated!O8</f>
        <v>24.52</v>
      </c>
      <c r="T19" s="104">
        <f>[1]Irrigated!P8</f>
        <v>25.17</v>
      </c>
      <c r="U19" s="105">
        <f>[1]Irrigated!Q8</f>
        <v>23.87</v>
      </c>
      <c r="V19" s="98">
        <f>[1]Irrigated!R8</f>
        <v>16.39</v>
      </c>
      <c r="W19" s="98">
        <f>[1]Irrigated!S8</f>
        <v>21.19</v>
      </c>
      <c r="X19" s="98">
        <v>27.61</v>
      </c>
      <c r="Y19" s="98">
        <v>37.85</v>
      </c>
      <c r="Z19" s="98">
        <v>49.5</v>
      </c>
      <c r="AA19" s="98">
        <v>61.58</v>
      </c>
      <c r="AB19" s="106">
        <v>75.23</v>
      </c>
      <c r="AC19" s="106">
        <v>85.84</v>
      </c>
      <c r="AD19" s="106">
        <v>90.61</v>
      </c>
      <c r="AE19" s="106">
        <v>92.09</v>
      </c>
      <c r="AF19" s="106">
        <v>89.02</v>
      </c>
      <c r="AG19" s="106">
        <v>80.03</v>
      </c>
      <c r="AH19" s="107">
        <v>69.2</v>
      </c>
      <c r="AI19" s="107">
        <v>58.14</v>
      </c>
      <c r="AJ19" s="107">
        <v>49.27</v>
      </c>
      <c r="AK19" s="90">
        <f t="shared" si="2"/>
        <v>153</v>
      </c>
      <c r="AL19" s="90">
        <f t="shared" si="3"/>
        <v>160</v>
      </c>
      <c r="AM19" s="108">
        <f t="shared" si="4"/>
        <v>168</v>
      </c>
      <c r="AN19" s="91">
        <f t="shared" si="5"/>
        <v>186</v>
      </c>
      <c r="AO19" s="108">
        <f t="shared" si="6"/>
        <v>192</v>
      </c>
      <c r="AP19" s="109">
        <f t="shared" si="7"/>
        <v>190</v>
      </c>
      <c r="AQ19" s="110">
        <f t="shared" si="0"/>
        <v>178</v>
      </c>
      <c r="AR19" s="110">
        <f t="shared" si="0"/>
        <v>178</v>
      </c>
      <c r="AS19" s="110">
        <f t="shared" si="8"/>
        <v>168</v>
      </c>
      <c r="AT19" s="110">
        <f t="shared" si="9"/>
        <v>172</v>
      </c>
      <c r="AU19" s="110">
        <f t="shared" si="10"/>
        <v>163</v>
      </c>
      <c r="AV19" s="109">
        <f>ROUND(V19/VLOOKUP($C19,CapRate,12),0)</f>
        <v>110</v>
      </c>
      <c r="AW19" s="109">
        <f>ROUND(W19/VLOOKUP($C19,CapRate,13),0)</f>
        <v>142</v>
      </c>
      <c r="AX19" s="109">
        <f>ROUND(X19/VLOOKUP($C19,CapRate,14),0)</f>
        <v>184</v>
      </c>
      <c r="AY19" s="109">
        <f>ROUND(Y19/VLOOKUP($C19,CapRate,15),0)</f>
        <v>251</v>
      </c>
      <c r="AZ19" s="109">
        <f>ROUND(Z19/VLOOKUP($C19,CapRate,16),0)</f>
        <v>328</v>
      </c>
      <c r="BA19" s="109">
        <f>ROUND(AA19/VLOOKUP($C19,CapRate,17),0)</f>
        <v>409</v>
      </c>
      <c r="BB19" s="109">
        <f>ROUND(AB19/VLOOKUP($C19,CapRate,18),0)</f>
        <v>501</v>
      </c>
      <c r="BC19" s="109">
        <f>ROUND(AC19/VLOOKUP($C19,CapRate,19),0)</f>
        <v>570</v>
      </c>
      <c r="BD19" s="111">
        <f>ROUND(AD19/VLOOKUP($C19,CapRate,20),0)</f>
        <v>602</v>
      </c>
      <c r="BE19" s="111">
        <f>ROUND(AE19/VLOOKUP($C19,CapRate,21),0)</f>
        <v>615</v>
      </c>
      <c r="BF19" s="112">
        <f>ROUND(AF19/VLOOKUP($C19,CapRate,22),0)</f>
        <v>600</v>
      </c>
      <c r="BG19" s="112">
        <f>ROUND(AG19/VLOOKUP($C19,CapRate,23),0)</f>
        <v>544</v>
      </c>
      <c r="BH19" s="112">
        <f>ROUND(AH19/VLOOKUP($C19,CapRate,24),0)</f>
        <v>475</v>
      </c>
      <c r="BI19" s="112">
        <f>ROUND(AI19/VLOOKUP($C19,CapRate,25),0)</f>
        <v>397</v>
      </c>
      <c r="BJ19" s="112">
        <f>ROUND(AJ19/VLOOKUP($C19,CapRate,26),0)</f>
        <v>337</v>
      </c>
      <c r="BK19" s="113">
        <f t="shared" si="1"/>
        <v>-0.1511335012594458</v>
      </c>
      <c r="BL19" s="114">
        <f>((F17*BK17)+(F18*BK18)+(F19*BK19))</f>
        <v>-2.2998358239355653E-2</v>
      </c>
      <c r="BM19" s="120"/>
      <c r="BN19" s="115"/>
      <c r="BO19" s="115">
        <f>BK19</f>
        <v>-0.1511335012594458</v>
      </c>
      <c r="BP19" s="116"/>
      <c r="BQ19" s="90"/>
    </row>
    <row r="20" spans="1:69" ht="15.9" customHeight="1" thickTop="1">
      <c r="A20" s="54">
        <v>10</v>
      </c>
      <c r="B20" s="22"/>
      <c r="C20" s="8" t="s">
        <v>48</v>
      </c>
      <c r="D20" s="23" t="s">
        <v>48</v>
      </c>
      <c r="E20" s="8" t="s">
        <v>39</v>
      </c>
      <c r="F20" s="55">
        <f>[1]AcreSummary!M9</f>
        <v>0.35997979253921764</v>
      </c>
      <c r="G20" s="79"/>
      <c r="H20" s="117"/>
      <c r="I20" s="57">
        <f>[1]Native!E7</f>
        <v>4.51</v>
      </c>
      <c r="J20" s="58">
        <f>[1]Native!F7</f>
        <v>4.47</v>
      </c>
      <c r="K20" s="80">
        <f>[1]Native!G7</f>
        <v>4.57</v>
      </c>
      <c r="L20" s="68">
        <f>[1]Native!H7</f>
        <v>4.74</v>
      </c>
      <c r="M20" s="58">
        <f>[1]Native!I7</f>
        <v>4.84</v>
      </c>
      <c r="N20" s="81">
        <f>[1]Native!J7</f>
        <v>4.91</v>
      </c>
      <c r="O20" s="62">
        <v>4.8899999999999997</v>
      </c>
      <c r="P20" s="81">
        <f>[1]Native!K7</f>
        <v>4.9000000000000004</v>
      </c>
      <c r="Q20" s="82">
        <f>[1]Native!L7</f>
        <v>4.42</v>
      </c>
      <c r="R20" s="83">
        <v>4.42</v>
      </c>
      <c r="S20" s="84">
        <f>[1]Native!M7</f>
        <v>3.99</v>
      </c>
      <c r="T20" s="66">
        <f>[1]Native!N7</f>
        <v>3.53</v>
      </c>
      <c r="U20" s="67">
        <f>[1]Native!O7</f>
        <v>3.09</v>
      </c>
      <c r="V20" s="68">
        <f>[1]Native!P7</f>
        <v>-1.18</v>
      </c>
      <c r="W20" s="68">
        <f>[1]Native!Q7</f>
        <v>-1.46</v>
      </c>
      <c r="X20" s="68">
        <v>-1.2</v>
      </c>
      <c r="Y20" s="68">
        <v>-0.87</v>
      </c>
      <c r="Z20" s="68">
        <v>0.1</v>
      </c>
      <c r="AA20" s="68">
        <v>1.1499999999999999</v>
      </c>
      <c r="AB20" s="69">
        <v>2.17</v>
      </c>
      <c r="AC20" s="69">
        <v>3.31</v>
      </c>
      <c r="AD20" s="69">
        <v>4.09</v>
      </c>
      <c r="AE20" s="69">
        <v>4.8099999999999996</v>
      </c>
      <c r="AF20" s="69">
        <v>4.96</v>
      </c>
      <c r="AG20" s="69">
        <v>5.07</v>
      </c>
      <c r="AH20" s="70">
        <v>4.99</v>
      </c>
      <c r="AI20" s="70">
        <v>4.7699999999999996</v>
      </c>
      <c r="AJ20" s="70">
        <v>4.8600000000000003</v>
      </c>
      <c r="AK20" s="8">
        <f t="shared" si="2"/>
        <v>29</v>
      </c>
      <c r="AL20" s="8">
        <f t="shared" si="3"/>
        <v>30</v>
      </c>
      <c r="AM20" s="85">
        <f t="shared" si="4"/>
        <v>31</v>
      </c>
      <c r="AN20" s="23">
        <f t="shared" si="5"/>
        <v>32</v>
      </c>
      <c r="AO20" s="85">
        <f t="shared" si="6"/>
        <v>33</v>
      </c>
      <c r="AP20" s="72">
        <f t="shared" si="7"/>
        <v>34</v>
      </c>
      <c r="AQ20" s="71">
        <f t="shared" si="0"/>
        <v>30</v>
      </c>
      <c r="AR20" s="71">
        <f t="shared" si="0"/>
        <v>30</v>
      </c>
      <c r="AS20" s="71">
        <f t="shared" si="8"/>
        <v>28</v>
      </c>
      <c r="AT20" s="71">
        <f t="shared" si="9"/>
        <v>25</v>
      </c>
      <c r="AU20" s="71">
        <f t="shared" si="10"/>
        <v>22</v>
      </c>
      <c r="AV20" s="122">
        <f>IF(ROUND(V20/VLOOKUP($C20,CapRate,12),0)&gt;10,V20/VLOOKUP($C20,CapRate,12),10)</f>
        <v>10</v>
      </c>
      <c r="AW20" s="72">
        <f>IF(ROUND(W20/VLOOKUP($C20,CapRate,13),0)&gt;10,W20/VLOOKUP($C20,CapRate,13),10)</f>
        <v>10</v>
      </c>
      <c r="AX20" s="72">
        <f>IF(ROUND(X20/VLOOKUP($C20,CapRate,14),0)&gt;10,X20/VLOOKUP($C20,CapRate,14),10)</f>
        <v>10</v>
      </c>
      <c r="AY20" s="72">
        <f>IF(ROUND(Y20/VLOOKUP($C20,CapRate,15),0)&gt;10,Y20/VLOOKUP($C20,CapRate,15),10)</f>
        <v>10</v>
      </c>
      <c r="AZ20" s="72">
        <f>IF(ROUND(Z20/VLOOKUP($C20,CapRate,16),0)&gt;10,Z20/VLOOKUP($C20,CapRate,16),10)</f>
        <v>10</v>
      </c>
      <c r="BA20" s="72">
        <f>IF(ROUND(AA20/VLOOKUP($C20,CapRate,17),0)&gt;10,AA20/VLOOKUP($C20,CapRate,17),10)</f>
        <v>10</v>
      </c>
      <c r="BB20" s="72">
        <f>IF(ROUND(AB20/VLOOKUP($C20,CapRate,18),0)&gt;10,AB20/VLOOKUP($C20,CapRate,18),10)</f>
        <v>14.313984168865433</v>
      </c>
      <c r="BC20" s="72">
        <f>IF(ROUND(AC20/VLOOKUP($C20,CapRate,19),0)&gt;10,AC20/VLOOKUP($C20,CapRate,19),10)</f>
        <v>21.747700394218136</v>
      </c>
      <c r="BD20" s="86">
        <f>IF(ROUND(AD20/VLOOKUP($C20,CapRate,20),0)&gt;10,AD20/VLOOKUP($C20,CapRate,20),10)</f>
        <v>26.907894736842106</v>
      </c>
      <c r="BE20" s="86">
        <f>IF(ROUND(AE20/VLOOKUP($C20,CapRate,21),0)&gt;10,AE20/VLOOKUP($C20,CapRate,21),10)</f>
        <v>31.72823218997361</v>
      </c>
      <c r="BF20" s="118">
        <f>IF(ROUND(AF20/VLOOKUP($C20,CapRate,22),0)&gt;10,AF20/VLOOKUP($C20,CapRate,22),10)</f>
        <v>32.869449966865474</v>
      </c>
      <c r="BG20" s="118">
        <f>IF(ROUND(AG20/VLOOKUP($C20,CapRate,23),0)&gt;10,AG20/VLOOKUP($C20,CapRate,23),10)</f>
        <v>33.935742971887549</v>
      </c>
      <c r="BH20" s="118">
        <f>IF(ROUND(AH20/VLOOKUP($C20,CapRate,24),0)&gt;10,AH20/VLOOKUP($C20,CapRate,24),10)</f>
        <v>33.716216216216218</v>
      </c>
      <c r="BI20" s="118">
        <f>IF(ROUND(AI20/VLOOKUP($C20,CapRate,25),0)&gt;10,AI20/VLOOKUP($C20,CapRate,25),10)</f>
        <v>32.295192958700063</v>
      </c>
      <c r="BJ20" s="118">
        <f>IF(ROUND(AJ20/VLOOKUP($C20,CapRate,26),0)&gt;10,AJ20/VLOOKUP($C20,CapRate,26),10)</f>
        <v>33.106267029972749</v>
      </c>
      <c r="BK20" s="75">
        <f t="shared" si="1"/>
        <v>2.5114390005655185E-2</v>
      </c>
      <c r="BL20" s="76"/>
      <c r="BM20" s="77">
        <f>BK20</f>
        <v>2.5114390005655185E-2</v>
      </c>
      <c r="BN20" s="77"/>
      <c r="BO20" s="77"/>
      <c r="BP20" s="88"/>
    </row>
    <row r="21" spans="1:69" ht="15.9" customHeight="1">
      <c r="A21" s="54">
        <v>10</v>
      </c>
      <c r="B21" s="22"/>
      <c r="C21" s="8" t="s">
        <v>48</v>
      </c>
      <c r="D21" s="23"/>
      <c r="E21" s="8" t="s">
        <v>40</v>
      </c>
      <c r="F21" s="55">
        <f>[1]AcreSummary!J9</f>
        <v>0.50079872730508435</v>
      </c>
      <c r="G21" s="79"/>
      <c r="H21" s="117"/>
      <c r="I21" s="57">
        <f>[1]Dry!E9</f>
        <v>12.64</v>
      </c>
      <c r="J21" s="58">
        <f>[1]Dry!F9</f>
        <v>12.38</v>
      </c>
      <c r="K21" s="80">
        <f>[1]Dry!G9</f>
        <v>12.36</v>
      </c>
      <c r="L21" s="68">
        <f>[1]Dry!H9</f>
        <v>12.37</v>
      </c>
      <c r="M21" s="58">
        <f>[1]Dry!I9</f>
        <v>12.65</v>
      </c>
      <c r="N21" s="81">
        <f>[1]Dry!J9</f>
        <v>13.18</v>
      </c>
      <c r="O21" s="62">
        <v>13.21</v>
      </c>
      <c r="P21" s="81">
        <f>[1]Dry!K9</f>
        <v>13.5</v>
      </c>
      <c r="Q21" s="82">
        <f>[1]Dry!L9</f>
        <v>14.09</v>
      </c>
      <c r="R21" s="83">
        <f>Q21*0.95</f>
        <v>13.385499999999999</v>
      </c>
      <c r="S21" s="84">
        <f>[1]Dry!N9</f>
        <v>13.97</v>
      </c>
      <c r="T21" s="66">
        <f>[1]Dry!O9</f>
        <v>13.69</v>
      </c>
      <c r="U21" s="67">
        <f>[1]Dry!P9</f>
        <v>12.96</v>
      </c>
      <c r="V21" s="68">
        <f>[1]Dry!Q9</f>
        <v>8.17</v>
      </c>
      <c r="W21" s="68">
        <f>[1]Dry!R9</f>
        <v>9.32</v>
      </c>
      <c r="X21" s="68">
        <f>[1]Dry!S9</f>
        <v>12.39</v>
      </c>
      <c r="Y21" s="68">
        <f>[1]Dry!T9</f>
        <v>17.04</v>
      </c>
      <c r="Z21" s="68">
        <f>[1]Dry!U9</f>
        <v>20.96</v>
      </c>
      <c r="AA21" s="68">
        <v>25.65</v>
      </c>
      <c r="AB21" s="69">
        <v>30.43</v>
      </c>
      <c r="AC21" s="69">
        <v>35.020000000000003</v>
      </c>
      <c r="AD21" s="69">
        <v>37.29</v>
      </c>
      <c r="AE21" s="69">
        <v>38.46</v>
      </c>
      <c r="AF21" s="69">
        <v>37.39</v>
      </c>
      <c r="AG21" s="69">
        <v>35.03</v>
      </c>
      <c r="AH21" s="70">
        <v>32.99</v>
      </c>
      <c r="AI21" s="70">
        <v>28.96</v>
      </c>
      <c r="AJ21" s="70">
        <v>26.94</v>
      </c>
      <c r="AK21" s="8">
        <f t="shared" si="2"/>
        <v>81</v>
      </c>
      <c r="AL21" s="8">
        <f t="shared" si="3"/>
        <v>81</v>
      </c>
      <c r="AM21" s="85">
        <f t="shared" si="4"/>
        <v>80</v>
      </c>
      <c r="AN21" s="23">
        <f t="shared" si="5"/>
        <v>83</v>
      </c>
      <c r="AO21" s="85">
        <f t="shared" si="6"/>
        <v>90</v>
      </c>
      <c r="AP21" s="72">
        <f t="shared" si="7"/>
        <v>93</v>
      </c>
      <c r="AQ21" s="71">
        <f t="shared" si="0"/>
        <v>97</v>
      </c>
      <c r="AR21" s="71">
        <f t="shared" si="0"/>
        <v>92</v>
      </c>
      <c r="AS21" s="71">
        <f t="shared" si="8"/>
        <v>97</v>
      </c>
      <c r="AT21" s="71">
        <f t="shared" si="9"/>
        <v>95</v>
      </c>
      <c r="AU21" s="71">
        <f t="shared" si="10"/>
        <v>90</v>
      </c>
      <c r="AV21" s="72">
        <f>ROUND(V21/VLOOKUP($C21,CapRate,12),0)</f>
        <v>56</v>
      </c>
      <c r="AW21" s="72">
        <f>ROUND(W21/VLOOKUP($C21,CapRate,13),0)</f>
        <v>64</v>
      </c>
      <c r="AX21" s="72">
        <f>ROUND(X21/VLOOKUP($C21,CapRate,14),0)</f>
        <v>84</v>
      </c>
      <c r="AY21" s="72">
        <f>ROUND(Y21/VLOOKUP($C21,CapRate,15),0)</f>
        <v>115</v>
      </c>
      <c r="AZ21" s="72">
        <f>ROUND(Z21/VLOOKUP($C21,CapRate,16),0)</f>
        <v>140</v>
      </c>
      <c r="BA21" s="72">
        <f>ROUND(AA21/VLOOKUP($C21,CapRate,17),0)</f>
        <v>170</v>
      </c>
      <c r="BB21" s="72">
        <f>ROUND(AB21/VLOOKUP($C21,CapRate,18),0)</f>
        <v>201</v>
      </c>
      <c r="BC21" s="72">
        <f>ROUND(AC21/VLOOKUP($C21,CapRate,19),0)</f>
        <v>230</v>
      </c>
      <c r="BD21" s="86">
        <f>ROUND(AD21/VLOOKUP($C21,CapRate,20),0)</f>
        <v>245</v>
      </c>
      <c r="BE21" s="86">
        <f>ROUND(AE21/VLOOKUP($C21,CapRate,21),0)</f>
        <v>254</v>
      </c>
      <c r="BF21" s="118">
        <f>ROUND(AF21/VLOOKUP($C21,CapRate,22),0)</f>
        <v>248</v>
      </c>
      <c r="BG21" s="118">
        <f>ROUND(AG21/VLOOKUP($C21,CapRate,23),0)</f>
        <v>234</v>
      </c>
      <c r="BH21" s="118">
        <f>ROUND(AH21/VLOOKUP($C21,CapRate,24),0)</f>
        <v>223</v>
      </c>
      <c r="BI21" s="118">
        <f>ROUND(AI21/VLOOKUP($C21,CapRate,25),0)</f>
        <v>196</v>
      </c>
      <c r="BJ21" s="118">
        <f>ROUND(AJ21/VLOOKUP($C21,CapRate,26),0)</f>
        <v>184</v>
      </c>
      <c r="BK21" s="87">
        <f t="shared" si="1"/>
        <v>-6.1224489795918324E-2</v>
      </c>
      <c r="BL21" s="76"/>
      <c r="BM21" s="77"/>
      <c r="BN21" s="77">
        <f>BK21</f>
        <v>-6.1224489795918324E-2</v>
      </c>
      <c r="BO21" s="77"/>
      <c r="BP21" s="88"/>
    </row>
    <row r="22" spans="1:69" ht="15.9" customHeight="1" thickBot="1">
      <c r="A22" s="89">
        <v>10</v>
      </c>
      <c r="B22" s="22"/>
      <c r="C22" s="90" t="s">
        <v>48</v>
      </c>
      <c r="D22" s="91"/>
      <c r="E22" s="90" t="s">
        <v>41</v>
      </c>
      <c r="F22" s="92">
        <f>[1]AcreSummary!K9</f>
        <v>0.13922148015569796</v>
      </c>
      <c r="G22" s="93">
        <f>[1]Irrigated!D9</f>
        <v>200</v>
      </c>
      <c r="H22" s="94">
        <f>[1]Irrigated!E9</f>
        <v>0.62</v>
      </c>
      <c r="I22" s="95"/>
      <c r="J22" s="96">
        <f>[1]Irrigated!H9</f>
        <v>33.03</v>
      </c>
      <c r="K22" s="97">
        <f>[1]Irrigated!I9</f>
        <v>34.25</v>
      </c>
      <c r="L22" s="98">
        <f>[1]Irrigated!J9</f>
        <v>36.130000000000003</v>
      </c>
      <c r="M22" s="96">
        <f>[1]Irrigated!K9</f>
        <v>38.58</v>
      </c>
      <c r="N22" s="99">
        <f>[1]Irrigated!L9</f>
        <v>38.65</v>
      </c>
      <c r="O22" s="100">
        <v>32.49</v>
      </c>
      <c r="P22" s="99">
        <f>[1]Irrigated!M9</f>
        <v>37.909999999999997</v>
      </c>
      <c r="Q22" s="101">
        <f>[1]Irrigated!N9</f>
        <v>36.28</v>
      </c>
      <c r="R22" s="102">
        <v>36.28</v>
      </c>
      <c r="S22" s="103">
        <f>[1]Irrigated!O9</f>
        <v>34.79</v>
      </c>
      <c r="T22" s="104">
        <f>[1]Irrigated!P9</f>
        <v>35.54</v>
      </c>
      <c r="U22" s="105">
        <f>[1]Irrigated!Q9</f>
        <v>33.86</v>
      </c>
      <c r="V22" s="98">
        <f>[1]Irrigated!R9</f>
        <v>25.84</v>
      </c>
      <c r="W22" s="98">
        <f>[1]Irrigated!S9</f>
        <v>30.67</v>
      </c>
      <c r="X22" s="98">
        <v>36.76</v>
      </c>
      <c r="Y22" s="98">
        <v>46.64</v>
      </c>
      <c r="Z22" s="98">
        <v>58.12</v>
      </c>
      <c r="AA22" s="98">
        <v>70.239999999999995</v>
      </c>
      <c r="AB22" s="106">
        <v>83.76</v>
      </c>
      <c r="AC22" s="106">
        <v>94.6</v>
      </c>
      <c r="AD22" s="106">
        <v>100.19</v>
      </c>
      <c r="AE22" s="106">
        <v>102.45</v>
      </c>
      <c r="AF22" s="106">
        <v>100.52</v>
      </c>
      <c r="AG22" s="106">
        <v>92.49</v>
      </c>
      <c r="AH22" s="107">
        <v>82.55</v>
      </c>
      <c r="AI22" s="107">
        <v>72.33</v>
      </c>
      <c r="AJ22" s="107">
        <v>64.06</v>
      </c>
      <c r="AK22" s="90">
        <f t="shared" si="2"/>
        <v>217</v>
      </c>
      <c r="AL22" s="90">
        <f t="shared" si="3"/>
        <v>225</v>
      </c>
      <c r="AM22" s="108">
        <f t="shared" si="4"/>
        <v>233</v>
      </c>
      <c r="AN22" s="91">
        <f t="shared" si="5"/>
        <v>254</v>
      </c>
      <c r="AO22" s="108">
        <f t="shared" si="6"/>
        <v>222</v>
      </c>
      <c r="AP22" s="109">
        <f t="shared" si="7"/>
        <v>262</v>
      </c>
      <c r="AQ22" s="110">
        <f t="shared" si="0"/>
        <v>250</v>
      </c>
      <c r="AR22" s="110">
        <f t="shared" si="0"/>
        <v>250</v>
      </c>
      <c r="AS22" s="110">
        <f t="shared" si="8"/>
        <v>241</v>
      </c>
      <c r="AT22" s="110">
        <f t="shared" si="9"/>
        <v>247</v>
      </c>
      <c r="AU22" s="110">
        <f t="shared" si="10"/>
        <v>236</v>
      </c>
      <c r="AV22" s="109">
        <f>ROUND(V22/VLOOKUP($C22,CapRate,12),0)</f>
        <v>178</v>
      </c>
      <c r="AW22" s="109">
        <f>ROUND(W22/VLOOKUP($C22,CapRate,13),0)</f>
        <v>210</v>
      </c>
      <c r="AX22" s="109">
        <f>ROUND(X22/VLOOKUP($C22,CapRate,14),0)</f>
        <v>250</v>
      </c>
      <c r="AY22" s="109">
        <f>ROUND(Y22/VLOOKUP($C22,CapRate,15),0)</f>
        <v>314</v>
      </c>
      <c r="AZ22" s="109">
        <f>ROUND(Z22/VLOOKUP($C22,CapRate,16),0)</f>
        <v>389</v>
      </c>
      <c r="BA22" s="109">
        <f>ROUND(AA22/VLOOKUP($C22,CapRate,17),0)</f>
        <v>465</v>
      </c>
      <c r="BB22" s="109">
        <f>ROUND(AB22/VLOOKUP($C22,CapRate,18),0)</f>
        <v>553</v>
      </c>
      <c r="BC22" s="109">
        <f>ROUND(AC22/VLOOKUP($C22,CapRate,19),0)</f>
        <v>622</v>
      </c>
      <c r="BD22" s="111">
        <f>ROUND(AD22/VLOOKUP($C22,CapRate,20),0)</f>
        <v>659</v>
      </c>
      <c r="BE22" s="111">
        <f>ROUND(AE22/VLOOKUP($C22,CapRate,21),0)</f>
        <v>676</v>
      </c>
      <c r="BF22" s="112">
        <f>ROUND(AF22/VLOOKUP($C22,CapRate,22),0)</f>
        <v>666</v>
      </c>
      <c r="BG22" s="112">
        <f>ROUND(AG22/VLOOKUP($C22,CapRate,23),0)</f>
        <v>619</v>
      </c>
      <c r="BH22" s="112">
        <f>ROUND(AH22/VLOOKUP($C22,CapRate,24),0)</f>
        <v>558</v>
      </c>
      <c r="BI22" s="112">
        <f>ROUND(AI22/VLOOKUP($C22,CapRate,25),0)</f>
        <v>490</v>
      </c>
      <c r="BJ22" s="112">
        <f>ROUND(AJ22/VLOOKUP($C22,CapRate,26),0)</f>
        <v>436</v>
      </c>
      <c r="BK22" s="113">
        <f t="shared" si="1"/>
        <v>-0.11020408163265305</v>
      </c>
      <c r="BL22" s="114">
        <f>((F20*BK20)+(F21*BK21)+(F22*BK22))</f>
        <v>-3.6963249029811587E-2</v>
      </c>
      <c r="BM22" s="120"/>
      <c r="BN22" s="115"/>
      <c r="BO22" s="115">
        <f>BK22</f>
        <v>-0.11020408163265305</v>
      </c>
      <c r="BP22" s="116"/>
      <c r="BQ22" s="90"/>
    </row>
    <row r="23" spans="1:69" ht="15.9" customHeight="1" thickTop="1">
      <c r="A23" s="54">
        <v>10</v>
      </c>
      <c r="B23" s="22"/>
      <c r="C23" s="8" t="s">
        <v>49</v>
      </c>
      <c r="D23" s="23" t="s">
        <v>49</v>
      </c>
      <c r="E23" s="8" t="s">
        <v>39</v>
      </c>
      <c r="F23" s="55">
        <f>[1]AcreSummary!M10</f>
        <v>0.18872224793332998</v>
      </c>
      <c r="G23" s="79"/>
      <c r="H23" s="117"/>
      <c r="I23" s="57">
        <f>[1]Native!E8</f>
        <v>4.72</v>
      </c>
      <c r="J23" s="58">
        <f>[1]Native!F8</f>
        <v>4.54</v>
      </c>
      <c r="K23" s="80">
        <f>[1]Native!G8</f>
        <v>4.6500000000000004</v>
      </c>
      <c r="L23" s="68">
        <f>[1]Native!H8</f>
        <v>4.82</v>
      </c>
      <c r="M23" s="58">
        <f>[1]Native!I8</f>
        <v>4.93</v>
      </c>
      <c r="N23" s="81">
        <f>[1]Native!J8</f>
        <v>5</v>
      </c>
      <c r="O23" s="62">
        <v>5.04</v>
      </c>
      <c r="P23" s="81">
        <f>[1]Native!K8</f>
        <v>5</v>
      </c>
      <c r="Q23" s="82">
        <f>[1]Native!L8</f>
        <v>4.5199999999999996</v>
      </c>
      <c r="R23" s="83">
        <v>4.5199999999999996</v>
      </c>
      <c r="S23" s="84">
        <f>[1]Native!M8</f>
        <v>4.08</v>
      </c>
      <c r="T23" s="66">
        <f>[1]Native!N8</f>
        <v>3.62</v>
      </c>
      <c r="U23" s="67">
        <f>[1]Native!O8</f>
        <v>3.15</v>
      </c>
      <c r="V23" s="68">
        <f>[1]Native!P8</f>
        <v>-1.19</v>
      </c>
      <c r="W23" s="68">
        <f>[1]Native!Q8</f>
        <v>-1.47</v>
      </c>
      <c r="X23" s="68">
        <v>-1.18</v>
      </c>
      <c r="Y23" s="68">
        <v>-0.82</v>
      </c>
      <c r="Z23" s="68">
        <v>0.19</v>
      </c>
      <c r="AA23" s="68">
        <v>1.28</v>
      </c>
      <c r="AB23" s="69">
        <v>2.34</v>
      </c>
      <c r="AC23" s="69">
        <v>3.34</v>
      </c>
      <c r="AD23" s="69">
        <v>4.13</v>
      </c>
      <c r="AE23" s="69">
        <v>4.8499999999999996</v>
      </c>
      <c r="AF23" s="69">
        <v>5</v>
      </c>
      <c r="AG23" s="69">
        <v>5.1100000000000003</v>
      </c>
      <c r="AH23" s="70">
        <v>5.03</v>
      </c>
      <c r="AI23" s="70">
        <v>4.8099999999999996</v>
      </c>
      <c r="AJ23" s="70">
        <v>4.9000000000000004</v>
      </c>
      <c r="AK23" s="8">
        <f t="shared" si="2"/>
        <v>30</v>
      </c>
      <c r="AL23" s="8">
        <f t="shared" si="3"/>
        <v>31</v>
      </c>
      <c r="AM23" s="85">
        <f t="shared" si="4"/>
        <v>32</v>
      </c>
      <c r="AN23" s="23">
        <f t="shared" si="5"/>
        <v>34</v>
      </c>
      <c r="AO23" s="85">
        <f t="shared" si="6"/>
        <v>36</v>
      </c>
      <c r="AP23" s="72">
        <f t="shared" si="7"/>
        <v>36</v>
      </c>
      <c r="AQ23" s="71">
        <f t="shared" si="0"/>
        <v>33</v>
      </c>
      <c r="AR23" s="71">
        <f t="shared" si="0"/>
        <v>33</v>
      </c>
      <c r="AS23" s="71">
        <f t="shared" si="8"/>
        <v>29</v>
      </c>
      <c r="AT23" s="71">
        <f t="shared" si="9"/>
        <v>26</v>
      </c>
      <c r="AU23" s="71">
        <f t="shared" si="10"/>
        <v>23</v>
      </c>
      <c r="AV23" s="122">
        <f>IF(ROUND(V23/VLOOKUP($C23,CapRate,12),0)&gt;10,V23/VLOOKUP($C23,CapRate,12),10)</f>
        <v>10</v>
      </c>
      <c r="AW23" s="72">
        <f>IF(ROUND(W23/VLOOKUP($C23,CapRate,13),0)&gt;10,W23/VLOOKUP($C23,CapRate,13),10)</f>
        <v>10</v>
      </c>
      <c r="AX23" s="72">
        <f>IF(ROUND(X23/VLOOKUP($C23,CapRate,14),0)&gt;10,X23/VLOOKUP($C23,CapRate,14),10)</f>
        <v>10</v>
      </c>
      <c r="AY23" s="72">
        <f>IF(ROUND(Y23/VLOOKUP($C23,CapRate,15),0)&gt;10,Y23/VLOOKUP($C23,CapRate,15),10)</f>
        <v>10</v>
      </c>
      <c r="AZ23" s="72">
        <f>IF(ROUND(Z23/VLOOKUP($C23,CapRate,16),0)&gt;10,Z23/VLOOKUP($C23,CapRate,16),10)</f>
        <v>10</v>
      </c>
      <c r="BA23" s="72">
        <f>IF(ROUND(AA23/VLOOKUP($C23,CapRate,17),0)&gt;10,AA23/VLOOKUP($C23,CapRate,17),10)</f>
        <v>10</v>
      </c>
      <c r="BB23" s="72">
        <f>IF(ROUND(AB23/VLOOKUP($C23,CapRate,18),0)&gt;10,AB23/VLOOKUP($C23,CapRate,18),10)</f>
        <v>16.227461858529818</v>
      </c>
      <c r="BC23" s="72">
        <f>IF(ROUND(AC23/VLOOKUP($C23,CapRate,19),0)&gt;10,AC23/VLOOKUP($C23,CapRate,19),10)</f>
        <v>23.03448275862069</v>
      </c>
      <c r="BD23" s="86">
        <f>IF(ROUND(AD23/VLOOKUP($C23,CapRate,20),0)&gt;10,AD23/VLOOKUP($C23,CapRate,20),10)</f>
        <v>28.404401650618983</v>
      </c>
      <c r="BE23" s="86">
        <f>IF(ROUND(AE23/VLOOKUP($C23,CapRate,21),0)&gt;10,AE23/VLOOKUP($C23,CapRate,21),10)</f>
        <v>33.356258596973859</v>
      </c>
      <c r="BF23" s="118">
        <f>IF(ROUND(AF23/VLOOKUP($C23,CapRate,22),0)&gt;10,AF23/VLOOKUP($C23,CapRate,22),10)</f>
        <v>34.3878954607978</v>
      </c>
      <c r="BG23" s="118">
        <f>IF(ROUND(AG23/VLOOKUP($C23,CapRate,23),0)&gt;10,AG23/VLOOKUP($C23,CapRate,23),10)</f>
        <v>35.048010973936897</v>
      </c>
      <c r="BH23" s="118">
        <f>IF(ROUND(AH23/VLOOKUP($C23,CapRate,24),0)&gt;10,AH23/VLOOKUP($C23,CapRate,24),10)</f>
        <v>34.404924760601915</v>
      </c>
      <c r="BI23" s="118">
        <v>33</v>
      </c>
      <c r="BJ23" s="118">
        <v>33</v>
      </c>
      <c r="BK23" s="75">
        <f t="shared" si="1"/>
        <v>0</v>
      </c>
      <c r="BL23" s="76"/>
      <c r="BM23" s="127">
        <f>BK23</f>
        <v>0</v>
      </c>
      <c r="BN23" s="77"/>
      <c r="BO23" s="77"/>
      <c r="BP23" s="88"/>
    </row>
    <row r="24" spans="1:69" ht="15.9" customHeight="1">
      <c r="A24" s="54">
        <v>10</v>
      </c>
      <c r="B24" s="22"/>
      <c r="C24" s="8" t="s">
        <v>49</v>
      </c>
      <c r="D24" s="23"/>
      <c r="E24" s="8" t="s">
        <v>40</v>
      </c>
      <c r="F24" s="55">
        <f>[1]AcreSummary!J10</f>
        <v>0.6326175941168436</v>
      </c>
      <c r="G24" s="79"/>
      <c r="H24" s="117"/>
      <c r="I24" s="57">
        <f>[1]Dry!E10</f>
        <v>12.3</v>
      </c>
      <c r="J24" s="58">
        <f>[1]Dry!F10</f>
        <v>12.2</v>
      </c>
      <c r="K24" s="80">
        <f>[1]Dry!G10</f>
        <v>12.23</v>
      </c>
      <c r="L24" s="68">
        <f>[1]Dry!H10</f>
        <v>11.91</v>
      </c>
      <c r="M24" s="58">
        <f>[1]Dry!I10</f>
        <v>11.75</v>
      </c>
      <c r="N24" s="81">
        <f>[1]Dry!J10</f>
        <v>11.84</v>
      </c>
      <c r="O24" s="62">
        <v>11.88</v>
      </c>
      <c r="P24" s="81">
        <f>[1]Dry!K10</f>
        <v>11.93</v>
      </c>
      <c r="Q24" s="82">
        <f>[1]Dry!L10</f>
        <v>11.95</v>
      </c>
      <c r="R24" s="83">
        <f>Q24*0.95</f>
        <v>11.352499999999999</v>
      </c>
      <c r="S24" s="84">
        <f>[1]Dry!N10</f>
        <v>11.32</v>
      </c>
      <c r="T24" s="66">
        <f>[1]Dry!O10</f>
        <v>10.61</v>
      </c>
      <c r="U24" s="67">
        <f>[1]Dry!P10</f>
        <v>9.4700000000000006</v>
      </c>
      <c r="V24" s="68">
        <f>[1]Dry!Q10</f>
        <v>5.57</v>
      </c>
      <c r="W24" s="68">
        <f>[1]Dry!R10</f>
        <v>6.56</v>
      </c>
      <c r="X24" s="68">
        <f>[1]Dry!S10</f>
        <v>8.6</v>
      </c>
      <c r="Y24" s="68">
        <f>[1]Dry!T10</f>
        <v>11.82</v>
      </c>
      <c r="Z24" s="68">
        <f>[1]Dry!U10</f>
        <v>14.19</v>
      </c>
      <c r="AA24" s="68">
        <v>17.14</v>
      </c>
      <c r="AB24" s="69">
        <v>20.25</v>
      </c>
      <c r="AC24" s="69">
        <v>23.06</v>
      </c>
      <c r="AD24" s="69">
        <v>24.68</v>
      </c>
      <c r="AE24" s="69">
        <v>25.04</v>
      </c>
      <c r="AF24" s="69">
        <v>24.09</v>
      </c>
      <c r="AG24" s="69">
        <v>22.24</v>
      </c>
      <c r="AH24" s="70">
        <v>20.53</v>
      </c>
      <c r="AI24" s="70">
        <v>16.690000000000001</v>
      </c>
      <c r="AJ24" s="70">
        <v>14.4</v>
      </c>
      <c r="AK24" s="8">
        <f t="shared" si="2"/>
        <v>82</v>
      </c>
      <c r="AL24" s="8">
        <f t="shared" si="3"/>
        <v>82</v>
      </c>
      <c r="AM24" s="85">
        <f t="shared" si="4"/>
        <v>79</v>
      </c>
      <c r="AN24" s="23">
        <f t="shared" si="5"/>
        <v>80</v>
      </c>
      <c r="AO24" s="85">
        <f t="shared" si="6"/>
        <v>84</v>
      </c>
      <c r="AP24" s="72">
        <f t="shared" si="7"/>
        <v>86</v>
      </c>
      <c r="AQ24" s="71">
        <f t="shared" si="0"/>
        <v>86</v>
      </c>
      <c r="AR24" s="71">
        <f t="shared" si="0"/>
        <v>82</v>
      </c>
      <c r="AS24" s="71">
        <f t="shared" si="8"/>
        <v>82</v>
      </c>
      <c r="AT24" s="71">
        <f t="shared" si="9"/>
        <v>77</v>
      </c>
      <c r="AU24" s="71">
        <f t="shared" si="10"/>
        <v>68</v>
      </c>
      <c r="AV24" s="72">
        <f>ROUND(V24/VLOOKUP($C24,CapRate,12),0)</f>
        <v>40</v>
      </c>
      <c r="AW24" s="72">
        <f>ROUND(W24/VLOOKUP($C24,CapRate,13),0)</f>
        <v>46</v>
      </c>
      <c r="AX24" s="72">
        <f>ROUND(X24/VLOOKUP($C24,CapRate,14),0)</f>
        <v>61</v>
      </c>
      <c r="AY24" s="72">
        <f>ROUND(Y24/VLOOKUP($C24,CapRate,15),0)</f>
        <v>83</v>
      </c>
      <c r="AZ24" s="72">
        <f>ROUND(Z24/VLOOKUP($C24,CapRate,16),0)</f>
        <v>99</v>
      </c>
      <c r="BA24" s="72">
        <f>ROUND(AA24/VLOOKUP($C24,CapRate,17),0)</f>
        <v>119</v>
      </c>
      <c r="BB24" s="72">
        <f>ROUND(AB24/VLOOKUP($C24,CapRate,18),0)</f>
        <v>140</v>
      </c>
      <c r="BC24" s="72">
        <f>ROUND(AC24/VLOOKUP($C24,CapRate,19),0)</f>
        <v>159</v>
      </c>
      <c r="BD24" s="86">
        <f>ROUND(AD24/VLOOKUP($C24,CapRate,20),0)</f>
        <v>170</v>
      </c>
      <c r="BE24" s="86">
        <f>ROUND(AE24/VLOOKUP($C24,CapRate,21),0)</f>
        <v>172</v>
      </c>
      <c r="BF24" s="118">
        <f>ROUND(AF24/VLOOKUP($C24,CapRate,22),0)</f>
        <v>166</v>
      </c>
      <c r="BG24" s="118">
        <f>ROUND(AG24/VLOOKUP($C24,CapRate,23),0)</f>
        <v>153</v>
      </c>
      <c r="BH24" s="118">
        <f>ROUND(AH24/VLOOKUP($C24,CapRate,24),0)</f>
        <v>140</v>
      </c>
      <c r="BI24" s="118">
        <f>ROUND(AI24/VLOOKUP($C24,CapRate,25),0)</f>
        <v>114</v>
      </c>
      <c r="BJ24" s="118">
        <f>ROUND(AJ24/VLOOKUP($C24,CapRate,26),0)</f>
        <v>98</v>
      </c>
      <c r="BK24" s="87">
        <f t="shared" si="1"/>
        <v>-0.14035087719298245</v>
      </c>
      <c r="BL24" s="76"/>
      <c r="BM24" s="77"/>
      <c r="BN24" s="77">
        <f>BK24</f>
        <v>-0.14035087719298245</v>
      </c>
      <c r="BO24" s="77"/>
      <c r="BP24" s="88"/>
    </row>
    <row r="25" spans="1:69" ht="15.9" customHeight="1" thickBot="1">
      <c r="A25" s="89">
        <v>10</v>
      </c>
      <c r="B25" s="22"/>
      <c r="C25" s="90" t="s">
        <v>49</v>
      </c>
      <c r="D25" s="91"/>
      <c r="E25" s="90" t="s">
        <v>41</v>
      </c>
      <c r="F25" s="92">
        <f>[1]AcreSummary!K10</f>
        <v>0.17866015794982651</v>
      </c>
      <c r="G25" s="93">
        <f>[1]Irrigated!D10</f>
        <v>300</v>
      </c>
      <c r="H25" s="94">
        <f>[1]Irrigated!E10</f>
        <v>0.87</v>
      </c>
      <c r="I25" s="95"/>
      <c r="J25" s="96">
        <f>[1]Irrigated!H10</f>
        <v>22.22</v>
      </c>
      <c r="K25" s="97">
        <f>[1]Irrigated!I10</f>
        <v>22.84</v>
      </c>
      <c r="L25" s="98">
        <f>[1]Irrigated!J10</f>
        <v>23.92</v>
      </c>
      <c r="M25" s="96">
        <f>[1]Irrigated!K10</f>
        <v>25.53</v>
      </c>
      <c r="N25" s="99">
        <f>[1]Irrigated!L10</f>
        <v>25.2</v>
      </c>
      <c r="O25" s="100">
        <v>22.49</v>
      </c>
      <c r="P25" s="99">
        <f>[1]Irrigated!M10</f>
        <v>23.85</v>
      </c>
      <c r="Q25" s="101">
        <f>[1]Irrigated!N10</f>
        <v>22.5</v>
      </c>
      <c r="R25" s="102">
        <v>22.5</v>
      </c>
      <c r="S25" s="103">
        <f>[1]Irrigated!O10</f>
        <v>21.41</v>
      </c>
      <c r="T25" s="104">
        <f>[1]Irrigated!P10</f>
        <v>22.27</v>
      </c>
      <c r="U25" s="105">
        <f>[1]Irrigated!Q10</f>
        <v>21.58</v>
      </c>
      <c r="V25" s="98">
        <f>[1]Irrigated!R10</f>
        <v>19.96</v>
      </c>
      <c r="W25" s="98">
        <f>[1]Irrigated!S10</f>
        <v>21.81</v>
      </c>
      <c r="X25" s="98">
        <v>28.29</v>
      </c>
      <c r="Y25" s="98">
        <v>38.6</v>
      </c>
      <c r="Z25" s="98">
        <v>50.35</v>
      </c>
      <c r="AA25" s="98">
        <v>62.53</v>
      </c>
      <c r="AB25" s="106">
        <v>76.28</v>
      </c>
      <c r="AC25" s="106">
        <v>87.02</v>
      </c>
      <c r="AD25" s="106">
        <v>91.81</v>
      </c>
      <c r="AE25" s="106">
        <v>93.34</v>
      </c>
      <c r="AF25" s="106">
        <v>90.36</v>
      </c>
      <c r="AG25" s="106">
        <v>81.33</v>
      </c>
      <c r="AH25" s="107">
        <v>70.44</v>
      </c>
      <c r="AI25" s="107">
        <v>59.32</v>
      </c>
      <c r="AJ25" s="107">
        <v>50.34</v>
      </c>
      <c r="AK25" s="90">
        <f t="shared" si="2"/>
        <v>149</v>
      </c>
      <c r="AL25" s="90">
        <f t="shared" si="3"/>
        <v>154</v>
      </c>
      <c r="AM25" s="108">
        <f t="shared" si="4"/>
        <v>159</v>
      </c>
      <c r="AN25" s="91">
        <f t="shared" si="5"/>
        <v>174</v>
      </c>
      <c r="AO25" s="108">
        <f t="shared" si="6"/>
        <v>160</v>
      </c>
      <c r="AP25" s="109">
        <f t="shared" si="7"/>
        <v>172</v>
      </c>
      <c r="AQ25" s="110">
        <f t="shared" si="0"/>
        <v>162</v>
      </c>
      <c r="AR25" s="110">
        <f t="shared" si="0"/>
        <v>162</v>
      </c>
      <c r="AS25" s="110">
        <f t="shared" si="8"/>
        <v>155</v>
      </c>
      <c r="AT25" s="110">
        <f t="shared" si="9"/>
        <v>161</v>
      </c>
      <c r="AU25" s="110">
        <f t="shared" si="10"/>
        <v>156</v>
      </c>
      <c r="AV25" s="109">
        <f>ROUND(V25/VLOOKUP($C25,CapRate,12),0)</f>
        <v>142</v>
      </c>
      <c r="AW25" s="109">
        <f>ROUND(W25/VLOOKUP($C25,CapRate,13),0)</f>
        <v>154</v>
      </c>
      <c r="AX25" s="109">
        <f>ROUND(X25/VLOOKUP($C25,CapRate,14),0)</f>
        <v>200</v>
      </c>
      <c r="AY25" s="109">
        <f>ROUND(Y25/VLOOKUP($C25,CapRate,15),0)</f>
        <v>271</v>
      </c>
      <c r="AZ25" s="109">
        <f>ROUND(Z25/VLOOKUP($C25,CapRate,16),0)</f>
        <v>353</v>
      </c>
      <c r="BA25" s="109">
        <f>ROUND(AA25/VLOOKUP($C25,CapRate,17),0)</f>
        <v>435</v>
      </c>
      <c r="BB25" s="109">
        <f>ROUND(AB25/VLOOKUP($C25,CapRate,18),0)</f>
        <v>529</v>
      </c>
      <c r="BC25" s="109">
        <f>ROUND(AC25/VLOOKUP($C25,CapRate,19),0)</f>
        <v>600</v>
      </c>
      <c r="BD25" s="111">
        <f>ROUND(AD25/VLOOKUP($C25,CapRate,20),0)</f>
        <v>631</v>
      </c>
      <c r="BE25" s="111">
        <f>ROUND(AE25/VLOOKUP($C25,CapRate,21),0)</f>
        <v>642</v>
      </c>
      <c r="BF25" s="112">
        <f>ROUND(AF25/VLOOKUP($C25,CapRate,22),0)</f>
        <v>621</v>
      </c>
      <c r="BG25" s="112">
        <f>ROUND(AG25/VLOOKUP($C25,CapRate,23),0)</f>
        <v>558</v>
      </c>
      <c r="BH25" s="112">
        <f>ROUND(AH25/VLOOKUP($C25,CapRate,24),0)</f>
        <v>482</v>
      </c>
      <c r="BI25" s="112">
        <f>ROUND(AI25/VLOOKUP($C25,CapRate,25),0)</f>
        <v>404</v>
      </c>
      <c r="BJ25" s="112">
        <f>ROUND(AJ25/VLOOKUP($C25,CapRate,26),0)</f>
        <v>341</v>
      </c>
      <c r="BK25" s="113">
        <f t="shared" si="1"/>
        <v>-0.15594059405940597</v>
      </c>
      <c r="BL25" s="114">
        <f>((F23*BK23)+(F24*BK24)+(F25*BK25))</f>
        <v>-0.11664880542745638</v>
      </c>
      <c r="BM25" s="120"/>
      <c r="BN25" s="115"/>
      <c r="BO25" s="115">
        <f>BK25</f>
        <v>-0.15594059405940597</v>
      </c>
      <c r="BP25" s="116"/>
      <c r="BQ25" s="90"/>
    </row>
    <row r="26" spans="1:69" ht="15.9" customHeight="1" thickTop="1">
      <c r="A26" s="54">
        <v>10</v>
      </c>
      <c r="B26" s="22"/>
      <c r="C26" s="8" t="s">
        <v>50</v>
      </c>
      <c r="D26" s="23" t="s">
        <v>50</v>
      </c>
      <c r="E26" s="8" t="s">
        <v>39</v>
      </c>
      <c r="F26" s="55">
        <f>[1]AcreSummary!M11</f>
        <v>0.13550879445372838</v>
      </c>
      <c r="G26" s="79"/>
      <c r="H26" s="117"/>
      <c r="I26" s="57">
        <f>[1]Native!E9</f>
        <v>4.3899999999999997</v>
      </c>
      <c r="J26" s="58">
        <f>[1]Native!F9</f>
        <v>4.41</v>
      </c>
      <c r="K26" s="80">
        <f>[1]Native!G9</f>
        <v>4.6100000000000003</v>
      </c>
      <c r="L26" s="68">
        <f>[1]Native!H9</f>
        <v>4.93</v>
      </c>
      <c r="M26" s="58">
        <f>[1]Native!I9</f>
        <v>5.18</v>
      </c>
      <c r="N26" s="81">
        <f>[1]Native!J9</f>
        <v>5.4</v>
      </c>
      <c r="O26" s="62">
        <v>5.38</v>
      </c>
      <c r="P26" s="81">
        <f>[1]Native!K9</f>
        <v>5.55</v>
      </c>
      <c r="Q26" s="82">
        <f>[1]Native!L9</f>
        <v>5.21</v>
      </c>
      <c r="R26" s="83">
        <v>5.21</v>
      </c>
      <c r="S26" s="84">
        <f>[1]Native!M9</f>
        <v>4.92</v>
      </c>
      <c r="T26" s="66">
        <f>[1]Native!N9</f>
        <v>4.5999999999999996</v>
      </c>
      <c r="U26" s="67">
        <f>[1]Native!O9</f>
        <v>4.1900000000000004</v>
      </c>
      <c r="V26" s="68">
        <f>[1]Native!P9</f>
        <v>-0.6</v>
      </c>
      <c r="W26" s="68">
        <f>[1]Native!Q9</f>
        <v>-1.02</v>
      </c>
      <c r="X26" s="68">
        <v>-0.9</v>
      </c>
      <c r="Y26" s="68">
        <v>-0.7</v>
      </c>
      <c r="Z26" s="68">
        <v>0.16</v>
      </c>
      <c r="AA26" s="68">
        <v>1.08</v>
      </c>
      <c r="AB26" s="69">
        <v>2.11</v>
      </c>
      <c r="AC26" s="69">
        <v>3.09</v>
      </c>
      <c r="AD26" s="69">
        <v>3.86</v>
      </c>
      <c r="AE26" s="69">
        <v>4.57</v>
      </c>
      <c r="AF26" s="69">
        <v>4.7</v>
      </c>
      <c r="AG26" s="69">
        <v>4.8099999999999996</v>
      </c>
      <c r="AH26" s="70">
        <v>4.7300000000000004</v>
      </c>
      <c r="AI26" s="70">
        <v>4.51</v>
      </c>
      <c r="AJ26" s="70">
        <v>4.5999999999999996</v>
      </c>
      <c r="AK26" s="8">
        <f t="shared" si="2"/>
        <v>29</v>
      </c>
      <c r="AL26" s="8">
        <f t="shared" si="3"/>
        <v>30</v>
      </c>
      <c r="AM26" s="85">
        <f t="shared" si="4"/>
        <v>32</v>
      </c>
      <c r="AN26" s="23">
        <f t="shared" si="5"/>
        <v>34</v>
      </c>
      <c r="AO26" s="85">
        <f t="shared" si="6"/>
        <v>37</v>
      </c>
      <c r="AP26" s="72">
        <f t="shared" si="7"/>
        <v>39</v>
      </c>
      <c r="AQ26" s="71">
        <f t="shared" si="0"/>
        <v>36</v>
      </c>
      <c r="AR26" s="71">
        <f t="shared" si="0"/>
        <v>36</v>
      </c>
      <c r="AS26" s="71">
        <f t="shared" si="8"/>
        <v>34</v>
      </c>
      <c r="AT26" s="71">
        <f t="shared" si="9"/>
        <v>32</v>
      </c>
      <c r="AU26" s="71">
        <f t="shared" si="10"/>
        <v>29</v>
      </c>
      <c r="AV26" s="122">
        <f>IF(ROUND(V26/VLOOKUP($C26,CapRate,12),0)&gt;10,V26/VLOOKUP($C26,CapRate,12),10)</f>
        <v>10</v>
      </c>
      <c r="AW26" s="72">
        <f>IF(ROUND(W26/VLOOKUP($C26,CapRate,13),0)&gt;10,W26/VLOOKUP($C26,CapRate,13),10)</f>
        <v>10</v>
      </c>
      <c r="AX26" s="72">
        <f>IF(ROUND(X26/VLOOKUP($C26,CapRate,14),0)&gt;10,X26/VLOOKUP($C26,CapRate,14),10)</f>
        <v>10</v>
      </c>
      <c r="AY26" s="72">
        <f>IF(ROUND(Y26/VLOOKUP($C26,CapRate,15),0)&gt;10,Y26/VLOOKUP($C26,CapRate,15),10)</f>
        <v>10</v>
      </c>
      <c r="AZ26" s="72">
        <f>IF(ROUND(Z26/VLOOKUP($C26,CapRate,16),0)&gt;10,Z26/VLOOKUP($C26,CapRate,16),10)</f>
        <v>10</v>
      </c>
      <c r="BA26" s="72">
        <f>IF(ROUND(AA26/VLOOKUP($C26,CapRate,17),0)&gt;10,AA26/VLOOKUP($C26,CapRate,17),10)</f>
        <v>10</v>
      </c>
      <c r="BB26" s="72">
        <f>IF(ROUND(AB26/VLOOKUP($C26,CapRate,18),0)&gt;10,AB26/VLOOKUP($C26,CapRate,18),10)</f>
        <v>13.790849673202613</v>
      </c>
      <c r="BC26" s="72">
        <f>IF(ROUND(AC26/VLOOKUP($C26,CapRate,19),0)&gt;10,AC26/VLOOKUP($C26,CapRate,19),10)</f>
        <v>20.077972709551656</v>
      </c>
      <c r="BD26" s="86">
        <f>IF(ROUND(AD26/VLOOKUP($C26,CapRate,20),0)&gt;10,AD26/VLOOKUP($C26,CapRate,20),10)</f>
        <v>24.919302775984505</v>
      </c>
      <c r="BE26" s="86">
        <f>IF(ROUND(AE26/VLOOKUP($C26,CapRate,21),0)&gt;10,AE26/VLOOKUP($C26,CapRate,21),10)</f>
        <v>29.35131663455363</v>
      </c>
      <c r="BF26" s="118">
        <f>IF(ROUND(AF26/VLOOKUP($C26,CapRate,22),0)&gt;10,AF26/VLOOKUP($C26,CapRate,22),10)</f>
        <v>30.108904548366436</v>
      </c>
      <c r="BG26" s="118">
        <f>IF(ROUND(AG26/VLOOKUP($C26,CapRate,23),0)&gt;10,AG26/VLOOKUP($C26,CapRate,23),10)</f>
        <v>30.754475703324804</v>
      </c>
      <c r="BH26" s="118">
        <f>IF(ROUND(AH26/VLOOKUP($C26,CapRate,24),0)&gt;10,AH26/VLOOKUP($C26,CapRate,24),10)</f>
        <v>30.242966751918161</v>
      </c>
      <c r="BI26" s="118">
        <v>29</v>
      </c>
      <c r="BJ26" s="118">
        <v>29</v>
      </c>
      <c r="BK26" s="75">
        <f t="shared" si="1"/>
        <v>0</v>
      </c>
      <c r="BL26" s="76"/>
      <c r="BM26" s="127">
        <f>BK26</f>
        <v>0</v>
      </c>
      <c r="BN26" s="77"/>
      <c r="BO26" s="77"/>
      <c r="BP26" s="88"/>
    </row>
    <row r="27" spans="1:69" ht="15.9" customHeight="1">
      <c r="A27" s="54">
        <v>10</v>
      </c>
      <c r="B27" s="22"/>
      <c r="C27" s="8" t="s">
        <v>50</v>
      </c>
      <c r="D27" s="23"/>
      <c r="E27" s="8" t="s">
        <v>40</v>
      </c>
      <c r="F27" s="55">
        <f>[1]AcreSummary!J11</f>
        <v>0.70938989408495268</v>
      </c>
      <c r="G27" s="79"/>
      <c r="H27" s="117"/>
      <c r="I27" s="57">
        <f>[1]Dry!E11</f>
        <v>11.94</v>
      </c>
      <c r="J27" s="58">
        <f>[1]Dry!F11</f>
        <v>11.89</v>
      </c>
      <c r="K27" s="80">
        <f>[1]Dry!G11</f>
        <v>11.8</v>
      </c>
      <c r="L27" s="68">
        <f>[1]Dry!H11</f>
        <v>11.52</v>
      </c>
      <c r="M27" s="58">
        <f>[1]Dry!I11</f>
        <v>11.33</v>
      </c>
      <c r="N27" s="81">
        <f>[1]Dry!J11</f>
        <v>11.3</v>
      </c>
      <c r="O27" s="62">
        <v>11.3</v>
      </c>
      <c r="P27" s="81">
        <f>[1]Dry!K11</f>
        <v>11.4</v>
      </c>
      <c r="Q27" s="82">
        <f>[1]Dry!L11</f>
        <v>11.68</v>
      </c>
      <c r="R27" s="83">
        <f>Q27*0.95</f>
        <v>11.096</v>
      </c>
      <c r="S27" s="84">
        <f>[1]Dry!N11</f>
        <v>11.4</v>
      </c>
      <c r="T27" s="66">
        <f>[1]Dry!O11</f>
        <v>10.89</v>
      </c>
      <c r="U27" s="67">
        <f>[1]Dry!P11</f>
        <v>9.94</v>
      </c>
      <c r="V27" s="68">
        <f>[1]Dry!Q11</f>
        <v>6.41</v>
      </c>
      <c r="W27" s="68">
        <f>[1]Dry!R11</f>
        <v>7.47</v>
      </c>
      <c r="X27" s="68">
        <f>[1]Dry!S11</f>
        <v>10.01</v>
      </c>
      <c r="Y27" s="68">
        <f>[1]Dry!T11</f>
        <v>14.2</v>
      </c>
      <c r="Z27" s="68">
        <f>[1]Dry!U11</f>
        <v>17.46</v>
      </c>
      <c r="AA27" s="68">
        <v>21.69</v>
      </c>
      <c r="AB27" s="69">
        <v>25.9</v>
      </c>
      <c r="AC27" s="69">
        <v>29.6</v>
      </c>
      <c r="AD27" s="69">
        <v>32.04</v>
      </c>
      <c r="AE27" s="69">
        <v>33.07</v>
      </c>
      <c r="AF27" s="69">
        <v>32.5</v>
      </c>
      <c r="AG27" s="69">
        <v>30.62</v>
      </c>
      <c r="AH27" s="70">
        <v>29.31</v>
      </c>
      <c r="AI27" s="70">
        <v>25.5</v>
      </c>
      <c r="AJ27" s="70">
        <v>23.75</v>
      </c>
      <c r="AK27" s="8">
        <f t="shared" si="2"/>
        <v>78</v>
      </c>
      <c r="AL27" s="8">
        <f t="shared" si="3"/>
        <v>78</v>
      </c>
      <c r="AM27" s="85">
        <f t="shared" si="4"/>
        <v>75</v>
      </c>
      <c r="AN27" s="23">
        <f t="shared" si="5"/>
        <v>75</v>
      </c>
      <c r="AO27" s="85">
        <f t="shared" si="6"/>
        <v>78</v>
      </c>
      <c r="AP27" s="72">
        <f t="shared" si="7"/>
        <v>80</v>
      </c>
      <c r="AQ27" s="71">
        <f t="shared" si="0"/>
        <v>82</v>
      </c>
      <c r="AR27" s="71">
        <f t="shared" si="0"/>
        <v>77</v>
      </c>
      <c r="AS27" s="71">
        <f t="shared" si="8"/>
        <v>80</v>
      </c>
      <c r="AT27" s="71">
        <f t="shared" si="9"/>
        <v>76</v>
      </c>
      <c r="AU27" s="71">
        <f t="shared" si="10"/>
        <v>69</v>
      </c>
      <c r="AV27" s="72">
        <f>ROUND(V27/VLOOKUP($C27,CapRate,12),0)</f>
        <v>43</v>
      </c>
      <c r="AW27" s="72">
        <f>ROUND(W27/VLOOKUP($C27,CapRate,13),0)</f>
        <v>50</v>
      </c>
      <c r="AX27" s="72">
        <f>ROUND(X27/VLOOKUP($C27,CapRate,14),0)</f>
        <v>67</v>
      </c>
      <c r="AY27" s="72">
        <f>ROUND(Y27/VLOOKUP($C27,CapRate,15),0)</f>
        <v>94</v>
      </c>
      <c r="AZ27" s="72">
        <f>ROUND(Z27/VLOOKUP($C27,CapRate,16),0)</f>
        <v>116</v>
      </c>
      <c r="BA27" s="72">
        <f>ROUND(AA27/VLOOKUP($C27,CapRate,17),0)</f>
        <v>143</v>
      </c>
      <c r="BB27" s="72">
        <f>ROUND(AB27/VLOOKUP($C27,CapRate,18),0)</f>
        <v>169</v>
      </c>
      <c r="BC27" s="72">
        <f>ROUND(AC27/VLOOKUP($C27,CapRate,19),0)</f>
        <v>192</v>
      </c>
      <c r="BD27" s="86">
        <f>ROUND(AD27/VLOOKUP($C27,CapRate,20),0)</f>
        <v>207</v>
      </c>
      <c r="BE27" s="86">
        <f>ROUND(AE27/VLOOKUP($C27,CapRate,21),0)</f>
        <v>212</v>
      </c>
      <c r="BF27" s="118">
        <f>ROUND(AF27/VLOOKUP($C27,CapRate,22),0)</f>
        <v>208</v>
      </c>
      <c r="BG27" s="118">
        <f>ROUND(AG27/VLOOKUP($C27,CapRate,23),0)</f>
        <v>196</v>
      </c>
      <c r="BH27" s="118">
        <f>ROUND(AH27/VLOOKUP($C27,CapRate,24),0)</f>
        <v>187</v>
      </c>
      <c r="BI27" s="118">
        <f>ROUND(AI27/VLOOKUP($C27,CapRate,25),0)</f>
        <v>163</v>
      </c>
      <c r="BJ27" s="118">
        <f>ROUND(AJ27/VLOOKUP($C27,CapRate,26),0)</f>
        <v>152</v>
      </c>
      <c r="BK27" s="87">
        <f t="shared" si="1"/>
        <v>-6.7484662576687171E-2</v>
      </c>
      <c r="BL27" s="76"/>
      <c r="BM27" s="77"/>
      <c r="BN27" s="77">
        <f>BK27</f>
        <v>-6.7484662576687171E-2</v>
      </c>
      <c r="BO27" s="77"/>
      <c r="BP27" s="88"/>
    </row>
    <row r="28" spans="1:69" ht="15.9" customHeight="1" thickBot="1">
      <c r="A28" s="128">
        <v>10</v>
      </c>
      <c r="B28" s="129"/>
      <c r="C28" s="130" t="s">
        <v>50</v>
      </c>
      <c r="D28" s="131"/>
      <c r="E28" s="132" t="s">
        <v>41</v>
      </c>
      <c r="F28" s="133">
        <f>[1]AcreSummary!K11</f>
        <v>0.15510131146131903</v>
      </c>
      <c r="G28" s="134">
        <f>[1]Irrigated!D11</f>
        <v>200</v>
      </c>
      <c r="H28" s="135">
        <f>[1]Irrigated!E11</f>
        <v>0.54779999999999995</v>
      </c>
      <c r="I28" s="136"/>
      <c r="J28" s="137">
        <f>[1]Irrigated!H11</f>
        <v>31.01</v>
      </c>
      <c r="K28" s="138">
        <f>[1]Irrigated!I11</f>
        <v>31.5</v>
      </c>
      <c r="L28" s="139">
        <f>[1]Irrigated!J11</f>
        <v>32.549999999999997</v>
      </c>
      <c r="M28" s="137">
        <f>[1]Irrigated!K11</f>
        <v>34.130000000000003</v>
      </c>
      <c r="N28" s="140">
        <f>[1]Irrigated!L11</f>
        <v>33.549999999999997</v>
      </c>
      <c r="O28" s="141">
        <v>25.84</v>
      </c>
      <c r="P28" s="140">
        <f>[1]Irrigated!M11</f>
        <v>32.11</v>
      </c>
      <c r="Q28" s="142">
        <f>[1]Irrigated!N11</f>
        <v>30.72</v>
      </c>
      <c r="R28" s="143">
        <v>30.72</v>
      </c>
      <c r="S28" s="144">
        <f>[1]Irrigated!O11</f>
        <v>29.47</v>
      </c>
      <c r="T28" s="145">
        <f>[1]Irrigated!P11</f>
        <v>30.42</v>
      </c>
      <c r="U28" s="146">
        <f>[1]Irrigated!Q11</f>
        <v>29.81</v>
      </c>
      <c r="V28" s="139">
        <f>[1]Irrigated!R11</f>
        <v>26.06</v>
      </c>
      <c r="W28" s="139">
        <f>[1]Irrigated!S11</f>
        <v>31</v>
      </c>
      <c r="X28" s="139">
        <v>37.24</v>
      </c>
      <c r="Y28" s="139">
        <v>47.27</v>
      </c>
      <c r="Z28" s="139">
        <v>58.91</v>
      </c>
      <c r="AA28" s="139">
        <v>71.13</v>
      </c>
      <c r="AB28" s="147">
        <v>84.72</v>
      </c>
      <c r="AC28" s="147">
        <v>95.61</v>
      </c>
      <c r="AD28" s="147">
        <v>101.28</v>
      </c>
      <c r="AE28" s="147">
        <v>103.68</v>
      </c>
      <c r="AF28" s="147">
        <v>101.79</v>
      </c>
      <c r="AG28" s="148">
        <v>93.71</v>
      </c>
      <c r="AH28" s="149">
        <v>83.72</v>
      </c>
      <c r="AI28" s="149">
        <v>73.45</v>
      </c>
      <c r="AJ28" s="149">
        <v>65.12</v>
      </c>
      <c r="AK28" s="150">
        <f t="shared" si="2"/>
        <v>204</v>
      </c>
      <c r="AL28" s="150">
        <f t="shared" si="3"/>
        <v>208</v>
      </c>
      <c r="AM28" s="151">
        <f t="shared" si="4"/>
        <v>212</v>
      </c>
      <c r="AN28" s="152">
        <f t="shared" si="5"/>
        <v>227</v>
      </c>
      <c r="AO28" s="151">
        <f t="shared" si="6"/>
        <v>179</v>
      </c>
      <c r="AP28" s="153">
        <f t="shared" si="7"/>
        <v>225</v>
      </c>
      <c r="AQ28" s="154">
        <f t="shared" si="0"/>
        <v>214</v>
      </c>
      <c r="AR28" s="154">
        <f t="shared" si="0"/>
        <v>214</v>
      </c>
      <c r="AS28" s="154">
        <f t="shared" si="8"/>
        <v>206</v>
      </c>
      <c r="AT28" s="154">
        <f t="shared" si="9"/>
        <v>212</v>
      </c>
      <c r="AU28" s="154">
        <f t="shared" si="10"/>
        <v>207</v>
      </c>
      <c r="AV28" s="153">
        <f>ROUND(V28/VLOOKUP($C28,CapRate,12),0)</f>
        <v>175</v>
      </c>
      <c r="AW28" s="153">
        <f>ROUND(W28/VLOOKUP($C28,CapRate,13),0)</f>
        <v>208</v>
      </c>
      <c r="AX28" s="153">
        <f>ROUND(X28/VLOOKUP($C28,CapRate,14),0)</f>
        <v>249</v>
      </c>
      <c r="AY28" s="153">
        <f>ROUND(Y28/VLOOKUP($C28,CapRate,15),0)</f>
        <v>314</v>
      </c>
      <c r="AZ28" s="153">
        <f>ROUND(Z28/VLOOKUP($C28,CapRate,16),0)</f>
        <v>390</v>
      </c>
      <c r="BA28" s="153">
        <f>ROUND(AA28/VLOOKUP($C28,CapRate,17),0)</f>
        <v>467</v>
      </c>
      <c r="BB28" s="153">
        <f>ROUND(AB28/VLOOKUP($C28,CapRate,18),0)</f>
        <v>554</v>
      </c>
      <c r="BC28" s="153">
        <f>ROUND(AC28/VLOOKUP($C28,CapRate,19),0)</f>
        <v>621</v>
      </c>
      <c r="BD28" s="155">
        <f>ROUND(AD28/VLOOKUP($C28,CapRate,20),0)</f>
        <v>654</v>
      </c>
      <c r="BE28" s="155">
        <f>ROUND(AE28/VLOOKUP($C28,CapRate,21),0)</f>
        <v>666</v>
      </c>
      <c r="BF28" s="156">
        <f>ROUND(AF28/VLOOKUP($C28,CapRate,22),0)</f>
        <v>652</v>
      </c>
      <c r="BG28" s="156">
        <f>ROUND(AG28/VLOOKUP($C28,CapRate,23),0)</f>
        <v>599</v>
      </c>
      <c r="BH28" s="156">
        <f>ROUND(AH28/VLOOKUP($C28,CapRate,24),0)</f>
        <v>535</v>
      </c>
      <c r="BI28" s="156">
        <f>ROUND(AI28/VLOOKUP($C28,CapRate,25),0)</f>
        <v>470</v>
      </c>
      <c r="BJ28" s="156">
        <f>ROUND(AJ28/VLOOKUP($C28,CapRate,26),0)</f>
        <v>417</v>
      </c>
      <c r="BK28" s="113">
        <f t="shared" si="1"/>
        <v>-0.11276595744680851</v>
      </c>
      <c r="BL28" s="114">
        <f>((F26*BK26)+(F27*BK27)+(F28*BK28))</f>
        <v>-6.5363085525826176E-2</v>
      </c>
      <c r="BM28" s="120"/>
      <c r="BN28" s="115"/>
      <c r="BO28" s="115">
        <f>BK28</f>
        <v>-0.11276595744680851</v>
      </c>
      <c r="BP28" s="116"/>
      <c r="BQ28" s="90"/>
    </row>
    <row r="29" spans="1:69" ht="15.9" customHeight="1">
      <c r="A29" s="54"/>
      <c r="B29" s="21"/>
      <c r="C29" s="8"/>
      <c r="D29" s="8"/>
      <c r="E29" s="8"/>
      <c r="F29" s="117"/>
      <c r="G29" s="21"/>
      <c r="H29" s="117"/>
      <c r="I29" s="68"/>
      <c r="J29" s="68"/>
      <c r="K29" s="68"/>
      <c r="L29" s="68"/>
      <c r="M29" s="68"/>
      <c r="N29" s="68"/>
      <c r="O29" s="60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157"/>
      <c r="AG29" s="158"/>
      <c r="AH29" s="159"/>
      <c r="AI29" s="159"/>
      <c r="AJ29" s="159"/>
      <c r="AK29" s="160"/>
      <c r="AL29" s="160"/>
      <c r="AM29" s="160"/>
      <c r="AN29" s="160"/>
      <c r="AO29" s="160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2"/>
      <c r="BG29" s="162"/>
      <c r="BH29" s="162"/>
      <c r="BI29" s="162"/>
      <c r="BJ29" s="162"/>
      <c r="BK29" s="87"/>
      <c r="BL29" s="77"/>
      <c r="BM29" s="77"/>
      <c r="BN29" s="77"/>
      <c r="BO29" s="77"/>
      <c r="BP29" s="77"/>
    </row>
    <row r="30" spans="1:69" ht="15.9" customHeight="1">
      <c r="A30" s="54"/>
      <c r="C30" s="8"/>
      <c r="D30" s="8"/>
      <c r="E30" s="8"/>
      <c r="F30" s="117"/>
      <c r="G30" s="21"/>
      <c r="H30" s="117"/>
      <c r="I30" s="68"/>
      <c r="J30" s="68"/>
      <c r="K30" s="68"/>
      <c r="L30" s="68"/>
      <c r="M30" s="68"/>
      <c r="N30" s="68"/>
      <c r="O30" s="60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70"/>
      <c r="AI30" s="70"/>
      <c r="AJ30" s="70"/>
      <c r="AK30" s="8"/>
      <c r="AL30" s="8"/>
      <c r="AM30" s="8"/>
      <c r="AN30" s="8"/>
      <c r="AO30" s="8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87"/>
      <c r="BL30" s="77"/>
      <c r="BM30" s="77"/>
      <c r="BN30" s="77"/>
      <c r="BO30" s="77"/>
      <c r="BP30" s="77"/>
    </row>
    <row r="31" spans="1:69" ht="15.9" customHeight="1">
      <c r="A31" s="54"/>
      <c r="C31" s="8"/>
      <c r="D31" s="164" t="s">
        <v>51</v>
      </c>
      <c r="E31" s="8"/>
      <c r="G31" s="21"/>
      <c r="H31" s="117"/>
      <c r="I31" s="68"/>
      <c r="J31" s="68"/>
      <c r="K31" s="68"/>
      <c r="L31" s="68"/>
      <c r="M31" s="68"/>
      <c r="N31" s="68"/>
      <c r="O31" s="60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9"/>
      <c r="AH31" s="70"/>
      <c r="AI31" s="70"/>
      <c r="AJ31" s="70"/>
      <c r="AK31" s="8"/>
      <c r="AL31" s="8"/>
      <c r="AM31" s="8"/>
      <c r="AN31" s="8"/>
      <c r="AO31" s="8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87"/>
      <c r="BL31" s="77"/>
      <c r="BM31" s="77"/>
      <c r="BN31" s="77"/>
      <c r="BO31" s="77"/>
      <c r="BP31" s="77"/>
    </row>
    <row r="32" spans="1:69" ht="15.9" customHeight="1">
      <c r="A32" s="54"/>
      <c r="C32" s="8"/>
      <c r="E32" s="8"/>
      <c r="G32" s="21"/>
      <c r="H32" s="117"/>
      <c r="I32" s="68"/>
      <c r="J32" s="68"/>
      <c r="K32" s="68"/>
      <c r="L32" s="68"/>
      <c r="M32" s="68"/>
      <c r="N32" s="68"/>
      <c r="O32" s="60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  <c r="AH32" s="70"/>
      <c r="AI32" s="70"/>
      <c r="AJ32" s="70"/>
      <c r="AK32" s="8"/>
      <c r="AL32" s="8"/>
      <c r="AM32" s="8"/>
      <c r="AN32" s="8"/>
      <c r="AO32" s="8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87"/>
      <c r="BL32" s="77"/>
      <c r="BM32" s="77"/>
      <c r="BN32" s="77"/>
      <c r="BO32" s="77"/>
      <c r="BP32" s="77"/>
    </row>
    <row r="33" spans="1:70" ht="15.9" customHeight="1">
      <c r="A33" s="54"/>
      <c r="B33" s="165"/>
      <c r="C33" s="8"/>
      <c r="E33" s="8"/>
      <c r="G33" s="21"/>
      <c r="H33" s="117"/>
      <c r="I33" s="68"/>
      <c r="J33" s="68"/>
      <c r="K33" s="68"/>
      <c r="L33" s="68"/>
      <c r="M33" s="68"/>
      <c r="N33" s="68"/>
      <c r="O33" s="60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9"/>
      <c r="AH33" s="70"/>
      <c r="AI33" s="70"/>
      <c r="AJ33" s="70"/>
      <c r="AK33" s="8"/>
      <c r="AL33" s="8"/>
      <c r="AM33" s="8"/>
      <c r="AN33" s="8"/>
      <c r="AO33" s="8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87"/>
      <c r="BL33" s="77"/>
      <c r="BM33" s="77"/>
      <c r="BN33" s="77"/>
      <c r="BO33" s="77"/>
      <c r="BP33" s="77"/>
    </row>
    <row r="34" spans="1:70" ht="17.399999999999999">
      <c r="A34" s="54"/>
      <c r="C34" s="8"/>
      <c r="D34" s="166" t="s">
        <v>52</v>
      </c>
      <c r="G34" s="167">
        <f>BL366</f>
        <v>-6.8849656426615377E-2</v>
      </c>
      <c r="H34" s="168"/>
      <c r="I34" s="68"/>
      <c r="J34" s="68"/>
      <c r="K34" s="68"/>
      <c r="L34" s="68"/>
      <c r="M34" s="68"/>
      <c r="N34" s="68"/>
      <c r="O34" s="60"/>
      <c r="P34" s="68"/>
      <c r="Q34" s="68"/>
      <c r="R34" s="68"/>
      <c r="S34" s="169" t="s">
        <v>53</v>
      </c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2"/>
      <c r="AI34" s="172"/>
      <c r="AJ34" s="172"/>
      <c r="AK34" s="8"/>
      <c r="AL34" s="8"/>
      <c r="AM34" s="8"/>
      <c r="AN34" s="8"/>
      <c r="AO34" s="8"/>
      <c r="AP34" s="173" t="s">
        <v>53</v>
      </c>
      <c r="AQ34" s="169" t="s">
        <v>53</v>
      </c>
      <c r="AR34" s="174">
        <v>-1.7399999999999999E-2</v>
      </c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87"/>
      <c r="BL34" s="77"/>
      <c r="BM34" s="77"/>
      <c r="BN34" s="77"/>
      <c r="BO34" s="77"/>
      <c r="BP34" s="77"/>
    </row>
    <row r="35" spans="1:70" ht="18" thickBot="1">
      <c r="A35" s="54"/>
      <c r="B35" s="21"/>
      <c r="C35" s="8"/>
      <c r="D35" s="132"/>
      <c r="E35" s="132"/>
      <c r="F35" s="135"/>
      <c r="G35" s="176"/>
      <c r="H35" s="135"/>
      <c r="I35" s="139"/>
      <c r="J35" s="139"/>
      <c r="K35" s="139"/>
      <c r="L35" s="139"/>
      <c r="M35" s="139"/>
      <c r="N35" s="139"/>
      <c r="O35" s="177"/>
      <c r="P35" s="139"/>
      <c r="Q35" s="139"/>
      <c r="R35" s="139"/>
      <c r="S35" s="139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9"/>
      <c r="AH35" s="180"/>
      <c r="AI35" s="180"/>
      <c r="AJ35" s="180"/>
      <c r="AK35" s="132"/>
      <c r="AL35" s="132"/>
      <c r="AM35" s="132"/>
      <c r="AN35" s="181"/>
      <c r="AO35" s="182" t="s">
        <v>53</v>
      </c>
      <c r="AP35" s="183">
        <v>1.2200000000000001E-2</v>
      </c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5"/>
      <c r="BL35" s="186"/>
      <c r="BM35" s="186"/>
      <c r="BN35" s="186"/>
      <c r="BO35" s="186"/>
      <c r="BP35" s="186"/>
      <c r="BQ35" s="132"/>
      <c r="BR35" s="187"/>
    </row>
    <row r="36" spans="1:70" ht="15.9" customHeight="1" thickTop="1">
      <c r="A36" s="8" t="s">
        <v>54</v>
      </c>
      <c r="B36" s="22" t="s">
        <v>55</v>
      </c>
      <c r="C36" s="8" t="s">
        <v>56</v>
      </c>
      <c r="D36" s="23" t="s">
        <v>56</v>
      </c>
      <c r="E36" s="8" t="s">
        <v>39</v>
      </c>
      <c r="F36" s="188">
        <f>[1]AcreSummary!M12</f>
        <v>0.44487034623638261</v>
      </c>
      <c r="G36" s="25"/>
      <c r="H36" s="117"/>
      <c r="I36" s="57">
        <f>[1]Native!E10</f>
        <v>4.37</v>
      </c>
      <c r="J36" s="58">
        <f>[1]Native!F10</f>
        <v>4.4000000000000004</v>
      </c>
      <c r="K36" s="59">
        <f>[1]Native!G10</f>
        <v>4.67</v>
      </c>
      <c r="L36" s="60">
        <f>[1]Native!H10</f>
        <v>4.6500000000000004</v>
      </c>
      <c r="M36" s="61">
        <f>[1]Native!I10</f>
        <v>4.7</v>
      </c>
      <c r="N36" s="62">
        <f>[1]Native!J10</f>
        <v>4.63</v>
      </c>
      <c r="O36" s="62">
        <v>4.62</v>
      </c>
      <c r="P36" s="62">
        <f>[1]Native!K10</f>
        <v>4.57</v>
      </c>
      <c r="Q36" s="63">
        <f>[1]Native!L10</f>
        <v>4.38</v>
      </c>
      <c r="R36" s="64">
        <v>4.38</v>
      </c>
      <c r="S36" s="65">
        <f>[1]Native!M10</f>
        <v>4.22</v>
      </c>
      <c r="T36" s="66">
        <f>[1]Native!N10</f>
        <v>4.03</v>
      </c>
      <c r="U36" s="67">
        <f>[1]Native!O10</f>
        <v>3.74</v>
      </c>
      <c r="V36" s="68">
        <f>[1]Native!P10</f>
        <v>-0.85</v>
      </c>
      <c r="W36" s="68">
        <f>[1]Native!Q10</f>
        <v>-1.2</v>
      </c>
      <c r="X36" s="68">
        <v>-1</v>
      </c>
      <c r="Y36" s="68">
        <v>-0.83</v>
      </c>
      <c r="Z36" s="68">
        <v>0.11</v>
      </c>
      <c r="AA36" s="68">
        <v>1.65</v>
      </c>
      <c r="AB36" s="68">
        <v>3.35</v>
      </c>
      <c r="AC36" s="68">
        <v>5.04</v>
      </c>
      <c r="AD36" s="68">
        <v>5.95</v>
      </c>
      <c r="AE36" s="68">
        <v>6.31</v>
      </c>
      <c r="AF36" s="68">
        <v>6.08</v>
      </c>
      <c r="AG36" s="69">
        <v>5.87</v>
      </c>
      <c r="AH36" s="70">
        <v>5.48</v>
      </c>
      <c r="AI36" s="70">
        <v>4.83</v>
      </c>
      <c r="AJ36" s="70">
        <v>4.43</v>
      </c>
      <c r="AK36" s="8">
        <f t="shared" si="2"/>
        <v>30</v>
      </c>
      <c r="AL36" s="8">
        <f t="shared" si="3"/>
        <v>31</v>
      </c>
      <c r="AM36" s="71">
        <f t="shared" si="4"/>
        <v>31</v>
      </c>
      <c r="AN36" s="72">
        <f t="shared" si="5"/>
        <v>32</v>
      </c>
      <c r="AO36" s="71">
        <f t="shared" si="6"/>
        <v>33</v>
      </c>
      <c r="AP36" s="72">
        <f t="shared" si="7"/>
        <v>33</v>
      </c>
      <c r="AQ36" s="72">
        <f t="shared" ref="AQ36:AR99" si="11">ROUND(Q36/VLOOKUP($C36,CapRate,8),0)</f>
        <v>31</v>
      </c>
      <c r="AR36" s="71">
        <f t="shared" si="11"/>
        <v>31</v>
      </c>
      <c r="AS36" s="71">
        <f>ROUND(S36/VLOOKUP($C36,CapRate,9),0)</f>
        <v>30</v>
      </c>
      <c r="AT36" s="71">
        <f>ROUND(T36/VLOOKUP($C36,CapRate,10),0)</f>
        <v>29</v>
      </c>
      <c r="AU36" s="71">
        <f t="shared" ref="AU36:AU99" si="12">ROUND(U36/VLOOKUP($C36,CapRate,11),0)</f>
        <v>27</v>
      </c>
      <c r="AV36" s="72">
        <f>IF(ROUND(V36/VLOOKUP($C36,CapRate,12),0)&gt;10,V36/VLOOKUP($C36,CapRate,12),10)</f>
        <v>10</v>
      </c>
      <c r="AW36" s="72">
        <f>IF(ROUND(W36/VLOOKUP($C36,CapRate,13),0)&gt;10,W36/VLOOKUP($C36,CapRate,13),10)</f>
        <v>10</v>
      </c>
      <c r="AX36" s="72">
        <f>IF(ROUND(X36/VLOOKUP($C36,CapRate,14),0)&gt;10,X36/VLOOKUP($C36,CapRate,14),10)</f>
        <v>10</v>
      </c>
      <c r="AY36" s="72">
        <f>IF(ROUND(Y36/VLOOKUP($C36,CapRate,15),0)&gt;10,Y36/VLOOKUP($C36,CapRate,15),10)</f>
        <v>10</v>
      </c>
      <c r="AZ36" s="72">
        <f>IF(ROUND(Z36/VLOOKUP($C36,CapRate,16),0)&gt;10,Z36/VLOOKUP($C36,CapRate,16),10)</f>
        <v>10</v>
      </c>
      <c r="BA36" s="72">
        <f>IF(ROUND(AA36/VLOOKUP($C36,CapRate,17),0)&gt;10,AA36/VLOOKUP($C36,CapRate,17),10)</f>
        <v>11.466296038915914</v>
      </c>
      <c r="BB36" s="72">
        <f>IF(ROUND(AB36/VLOOKUP($C36,CapRate,18),0)&gt;10,AB36/VLOOKUP($C36,CapRate,18),10)</f>
        <v>23.119392684610077</v>
      </c>
      <c r="BC36" s="72">
        <f>IF(ROUND(AC36/VLOOKUP($C36,CapRate,19),0)&gt;10,AC36/VLOOKUP($C36,CapRate,19),10)</f>
        <v>34.42622950819672</v>
      </c>
      <c r="BD36" s="72">
        <f>IF(ROUND(AD36/VLOOKUP($C36,CapRate,20),0)&gt;10,AD36/VLOOKUP($C36,CapRate,20),10)</f>
        <v>40.448674371176068</v>
      </c>
      <c r="BE36" s="72">
        <f>IF(ROUND(AE36/VLOOKUP($C36,CapRate,21),0)&gt;10,AE36/VLOOKUP($C36,CapRate,21),10)</f>
        <v>42.721733243060257</v>
      </c>
      <c r="BF36" s="72">
        <f>IF(ROUND(AF36/VLOOKUP($C36,CapRate,22),0)&gt;10,AF36/VLOOKUP($C36,CapRate,22),10)</f>
        <v>40.915208613728126</v>
      </c>
      <c r="BG36" s="72">
        <f>IF(ROUND(AG36/VLOOKUP($C36,CapRate,23),0)&gt;10,AG36/VLOOKUP($C36,CapRate,23),10)</f>
        <v>39.264214046822744</v>
      </c>
      <c r="BH36" s="72">
        <f>IF(ROUND(AH36/VLOOKUP($C36,CapRate,24),0)&gt;10,AH36/VLOOKUP($C36,CapRate,24),10)</f>
        <v>36.557705136757839</v>
      </c>
      <c r="BI36" s="72">
        <f>IF(ROUND(AI36/VLOOKUP($C36,CapRate,25),0)&gt;10,AI36/VLOOKUP($C36,CapRate,25),10)</f>
        <v>32.050431320504316</v>
      </c>
      <c r="BJ36" s="72">
        <f>IF(ROUND(AJ36/VLOOKUP($C36,CapRate,26),0)&gt;10,AJ36/VLOOKUP($C36,CapRate,26),10)</f>
        <v>29.435215946843854</v>
      </c>
      <c r="BK36" s="75">
        <f t="shared" ref="BK36:BK99" si="13">SUM(BJ36/BI36)-1</f>
        <v>-8.159688546803967E-2</v>
      </c>
      <c r="BL36" s="76"/>
      <c r="BM36" s="77">
        <f>BK36</f>
        <v>-8.159688546803967E-2</v>
      </c>
      <c r="BN36" s="77"/>
      <c r="BO36" s="77"/>
      <c r="BP36" s="189"/>
    </row>
    <row r="37" spans="1:70" ht="15.9" customHeight="1">
      <c r="A37" s="54">
        <v>20</v>
      </c>
      <c r="B37" s="22"/>
      <c r="C37" s="8" t="s">
        <v>56</v>
      </c>
      <c r="D37" s="23"/>
      <c r="E37" s="8" t="s">
        <v>40</v>
      </c>
      <c r="F37" s="188">
        <f>[1]AcreSummary!J12</f>
        <v>0.52395569035614797</v>
      </c>
      <c r="G37" s="25"/>
      <c r="H37" s="117"/>
      <c r="I37" s="57">
        <f>[1]Dry!E12</f>
        <v>12.91</v>
      </c>
      <c r="J37" s="58">
        <f>[1]Dry!F12</f>
        <v>12.92</v>
      </c>
      <c r="K37" s="80">
        <f>[1]Dry!G12</f>
        <v>13.32</v>
      </c>
      <c r="L37" s="68">
        <f>[1]Dry!H12</f>
        <v>13.85</v>
      </c>
      <c r="M37" s="58">
        <f>[1]Dry!I12</f>
        <v>14.26</v>
      </c>
      <c r="N37" s="81">
        <f>[1]Dry!J12</f>
        <v>14.88</v>
      </c>
      <c r="O37" s="62">
        <v>14.86</v>
      </c>
      <c r="P37" s="81">
        <f>[1]Dry!K12</f>
        <v>14.82</v>
      </c>
      <c r="Q37" s="82">
        <f>[1]Dry!L12</f>
        <v>14.8</v>
      </c>
      <c r="R37" s="83">
        <f>Q37*0.95</f>
        <v>14.06</v>
      </c>
      <c r="S37" s="84">
        <f>[1]Dry!N12</f>
        <v>14.16</v>
      </c>
      <c r="T37" s="66">
        <f>[1]Dry!O12</f>
        <v>13.49</v>
      </c>
      <c r="U37" s="67">
        <f>[1]Dry!P12</f>
        <v>12.5</v>
      </c>
      <c r="V37" s="68">
        <f>[1]Dry!Q12</f>
        <v>8.91</v>
      </c>
      <c r="W37" s="68">
        <f>[1]Dry!R12</f>
        <v>10.17</v>
      </c>
      <c r="X37" s="68">
        <f>[1]Dry!S12</f>
        <v>12.79</v>
      </c>
      <c r="Y37" s="68">
        <f>[1]Dry!T12</f>
        <v>17.010000000000002</v>
      </c>
      <c r="Z37" s="68">
        <v>21.19</v>
      </c>
      <c r="AA37" s="68">
        <v>26.44</v>
      </c>
      <c r="AB37" s="68">
        <v>30.68</v>
      </c>
      <c r="AC37" s="68">
        <v>33.57</v>
      </c>
      <c r="AD37" s="68">
        <v>34.96</v>
      </c>
      <c r="AE37" s="68">
        <v>35.94</v>
      </c>
      <c r="AF37" s="68">
        <v>35.44</v>
      </c>
      <c r="AG37" s="69">
        <v>33.479999999999997</v>
      </c>
      <c r="AH37" s="70">
        <v>30.56</v>
      </c>
      <c r="AI37" s="70">
        <v>24.62</v>
      </c>
      <c r="AJ37" s="70">
        <v>20.71</v>
      </c>
      <c r="AK37" s="8">
        <f t="shared" si="2"/>
        <v>87</v>
      </c>
      <c r="AL37" s="8">
        <f t="shared" si="3"/>
        <v>90</v>
      </c>
      <c r="AM37" s="85">
        <f t="shared" si="4"/>
        <v>92</v>
      </c>
      <c r="AN37" s="23">
        <f t="shared" si="5"/>
        <v>97</v>
      </c>
      <c r="AO37" s="85">
        <f t="shared" si="6"/>
        <v>105</v>
      </c>
      <c r="AP37" s="72">
        <f t="shared" si="7"/>
        <v>107</v>
      </c>
      <c r="AQ37" s="71">
        <f t="shared" si="11"/>
        <v>106</v>
      </c>
      <c r="AR37" s="71">
        <f t="shared" si="11"/>
        <v>101</v>
      </c>
      <c r="AS37" s="71">
        <f t="shared" ref="AS37:AS100" si="14">ROUND(S37/VLOOKUP($C37,CapRate,9),0)</f>
        <v>102</v>
      </c>
      <c r="AT37" s="71">
        <f t="shared" ref="AT37:AT100" si="15">ROUND(T37/VLOOKUP($C37,CapRate,10),0)</f>
        <v>97</v>
      </c>
      <c r="AU37" s="71">
        <f t="shared" si="12"/>
        <v>90</v>
      </c>
      <c r="AV37" s="72">
        <f t="shared" ref="AV37:AV98" si="16">ROUND(V37/VLOOKUP($C37,CapRate,12),0)</f>
        <v>63</v>
      </c>
      <c r="AW37" s="72">
        <f>ROUND(W37/VLOOKUP($C37,CapRate,13),0)</f>
        <v>71</v>
      </c>
      <c r="AX37" s="72">
        <f>ROUND(X37/VLOOKUP($C37,CapRate,14),0)</f>
        <v>90</v>
      </c>
      <c r="AY37" s="72">
        <f>ROUND(Y37/VLOOKUP($C37,CapRate,15),0)</f>
        <v>119</v>
      </c>
      <c r="AZ37" s="72">
        <f>ROUND(Z37/VLOOKUP($C37,CapRate,16),0)</f>
        <v>148</v>
      </c>
      <c r="BA37" s="72">
        <f>ROUND(AA37/VLOOKUP($C37,CapRate,17),0)</f>
        <v>184</v>
      </c>
      <c r="BB37" s="72">
        <f>ROUND(AB37/VLOOKUP($C37,CapRate,18),0)</f>
        <v>212</v>
      </c>
      <c r="BC37" s="72">
        <f>ROUND(AC37/VLOOKUP($C37,CapRate,19),0)</f>
        <v>229</v>
      </c>
      <c r="BD37" s="72">
        <f>ROUND(AD37/VLOOKUP($C37,CapRate,20),0)</f>
        <v>238</v>
      </c>
      <c r="BE37" s="72">
        <f>ROUND(AE37/VLOOKUP($C37,CapRate,21),0)</f>
        <v>243</v>
      </c>
      <c r="BF37" s="72">
        <f>ROUND(AF37/VLOOKUP($C37,CapRate,22),0)</f>
        <v>238</v>
      </c>
      <c r="BG37" s="72">
        <f>ROUND(AG37/VLOOKUP($C37,CapRate,23),0)</f>
        <v>224</v>
      </c>
      <c r="BH37" s="72">
        <f>ROUND(AH37/VLOOKUP($C37,CapRate,24),0)</f>
        <v>204</v>
      </c>
      <c r="BI37" s="72">
        <f>ROUND(AI37/VLOOKUP($C37,CapRate,25),0)</f>
        <v>163</v>
      </c>
      <c r="BJ37" s="72">
        <f>ROUND(AJ37/VLOOKUP($C37,CapRate,26),0)</f>
        <v>138</v>
      </c>
      <c r="BK37" s="87">
        <f t="shared" si="13"/>
        <v>-0.15337423312883436</v>
      </c>
      <c r="BL37" s="76"/>
      <c r="BM37" s="77"/>
      <c r="BN37" s="77">
        <f>BK37</f>
        <v>-0.15337423312883436</v>
      </c>
      <c r="BO37" s="77"/>
      <c r="BP37" s="88"/>
    </row>
    <row r="38" spans="1:70" ht="15.9" customHeight="1" thickBot="1">
      <c r="A38" s="89">
        <v>20</v>
      </c>
      <c r="B38" s="22"/>
      <c r="C38" s="90" t="s">
        <v>56</v>
      </c>
      <c r="D38" s="91"/>
      <c r="E38" s="90" t="s">
        <v>41</v>
      </c>
      <c r="F38" s="190">
        <f>[1]AcreSummary!K12</f>
        <v>3.1173963407469488E-2</v>
      </c>
      <c r="G38" s="191">
        <f>[1]Irrigated!D12</f>
        <v>100</v>
      </c>
      <c r="H38" s="94">
        <f>[1]Irrigated!E12</f>
        <v>0.51</v>
      </c>
      <c r="I38" s="95"/>
      <c r="J38" s="96">
        <f>[1]Irrigated!H12</f>
        <v>25.67</v>
      </c>
      <c r="K38" s="97">
        <f>[1]Irrigated!I12</f>
        <v>27.38</v>
      </c>
      <c r="L38" s="98">
        <f>[1]Irrigated!J12</f>
        <v>28.88</v>
      </c>
      <c r="M38" s="96">
        <f>[1]Irrigated!K12</f>
        <v>31.42</v>
      </c>
      <c r="N38" s="99">
        <f>[1]Irrigated!L12</f>
        <v>33.14</v>
      </c>
      <c r="O38" s="100">
        <v>26.49</v>
      </c>
      <c r="P38" s="99">
        <f>[1]Irrigated!M12</f>
        <v>33.15</v>
      </c>
      <c r="Q38" s="101">
        <f>[1]Irrigated!N12</f>
        <v>32.17</v>
      </c>
      <c r="R38" s="102">
        <v>32.17</v>
      </c>
      <c r="S38" s="103">
        <f>[1]Irrigated!O12</f>
        <v>30.66</v>
      </c>
      <c r="T38" s="104">
        <f>[1]Irrigated!P12</f>
        <v>30.34</v>
      </c>
      <c r="U38" s="105">
        <f>[1]Irrigated!Q12</f>
        <v>28.71</v>
      </c>
      <c r="V38" s="98">
        <f>[1]Irrigated!R12</f>
        <v>19.809999999999999</v>
      </c>
      <c r="W38" s="98">
        <f>[1]Irrigated!S12</f>
        <v>24.42</v>
      </c>
      <c r="X38" s="98">
        <v>30.83</v>
      </c>
      <c r="Y38" s="98">
        <v>39.94</v>
      </c>
      <c r="Z38" s="98">
        <v>50.49</v>
      </c>
      <c r="AA38" s="98">
        <v>61.53</v>
      </c>
      <c r="AB38" s="98">
        <v>73.459999999999994</v>
      </c>
      <c r="AC38" s="98">
        <v>82.29</v>
      </c>
      <c r="AD38" s="98">
        <v>87.77</v>
      </c>
      <c r="AE38" s="98">
        <v>89.66</v>
      </c>
      <c r="AF38" s="98">
        <v>88.7</v>
      </c>
      <c r="AG38" s="106">
        <v>86.81</v>
      </c>
      <c r="AH38" s="107">
        <v>80.64</v>
      </c>
      <c r="AI38" s="107">
        <v>71.06</v>
      </c>
      <c r="AJ38" s="107">
        <v>66.05</v>
      </c>
      <c r="AK38" s="90">
        <f t="shared" si="2"/>
        <v>173</v>
      </c>
      <c r="AL38" s="90">
        <f t="shared" si="3"/>
        <v>185</v>
      </c>
      <c r="AM38" s="108">
        <f t="shared" si="4"/>
        <v>192</v>
      </c>
      <c r="AN38" s="91">
        <f t="shared" si="5"/>
        <v>213</v>
      </c>
      <c r="AO38" s="108">
        <f t="shared" si="6"/>
        <v>188</v>
      </c>
      <c r="AP38" s="109">
        <f t="shared" si="7"/>
        <v>238</v>
      </c>
      <c r="AQ38" s="110">
        <f t="shared" si="11"/>
        <v>231</v>
      </c>
      <c r="AR38" s="110">
        <f t="shared" si="11"/>
        <v>231</v>
      </c>
      <c r="AS38" s="110">
        <f t="shared" si="14"/>
        <v>220</v>
      </c>
      <c r="AT38" s="110">
        <f t="shared" si="15"/>
        <v>218</v>
      </c>
      <c r="AU38" s="110">
        <f t="shared" si="12"/>
        <v>207</v>
      </c>
      <c r="AV38" s="109">
        <f t="shared" si="16"/>
        <v>139</v>
      </c>
      <c r="AW38" s="109">
        <f>ROUND(W38/VLOOKUP($C38,CapRate,13),0)</f>
        <v>171</v>
      </c>
      <c r="AX38" s="109">
        <f>ROUND(X38/VLOOKUP($C38,CapRate,14),0)</f>
        <v>216</v>
      </c>
      <c r="AY38" s="109">
        <f>ROUND(Y38/VLOOKUP($C38,CapRate,15),0)</f>
        <v>280</v>
      </c>
      <c r="AZ38" s="109">
        <f>ROUND(Z38/VLOOKUP($C38,CapRate,16),0)</f>
        <v>353</v>
      </c>
      <c r="BA38" s="109">
        <f>ROUND(AA38/VLOOKUP($C38,CapRate,17),0)</f>
        <v>428</v>
      </c>
      <c r="BB38" s="109">
        <f>ROUND(AB38/VLOOKUP($C38,CapRate,18),0)</f>
        <v>507</v>
      </c>
      <c r="BC38" s="109">
        <f>ROUND(AC38/VLOOKUP($C38,CapRate,19),0)</f>
        <v>562</v>
      </c>
      <c r="BD38" s="109">
        <f>ROUND(AD38/VLOOKUP($C38,CapRate,20),0)</f>
        <v>597</v>
      </c>
      <c r="BE38" s="109">
        <f>ROUND(AE38/VLOOKUP($C38,CapRate,21),0)</f>
        <v>607</v>
      </c>
      <c r="BF38" s="109">
        <f>ROUND(AF38/VLOOKUP($C38,CapRate,22),0)</f>
        <v>597</v>
      </c>
      <c r="BG38" s="109">
        <f>ROUND(AG38/VLOOKUP($C38,CapRate,23),0)</f>
        <v>581</v>
      </c>
      <c r="BH38" s="109">
        <f>ROUND(AH38/VLOOKUP($C38,CapRate,24),0)</f>
        <v>538</v>
      </c>
      <c r="BI38" s="109">
        <f>ROUND(AI38/VLOOKUP($C38,CapRate,25),0)</f>
        <v>472</v>
      </c>
      <c r="BJ38" s="109">
        <f>ROUND(AJ38/VLOOKUP($C38,CapRate,26),0)</f>
        <v>439</v>
      </c>
      <c r="BK38" s="113">
        <f t="shared" si="13"/>
        <v>-6.9915254237288171E-2</v>
      </c>
      <c r="BL38" s="114">
        <f>((F36*BK36)+(F37*BK37)+(F38*BK38))</f>
        <v>-0.1188408724690576</v>
      </c>
      <c r="BM38" s="115"/>
      <c r="BN38" s="115"/>
      <c r="BO38" s="115">
        <f>BK38</f>
        <v>-6.9915254237288171E-2</v>
      </c>
      <c r="BP38" s="116"/>
      <c r="BQ38" s="115">
        <f>AVERAGE(BL38:BL62)</f>
        <v>-0.15220555505075475</v>
      </c>
      <c r="BR38" s="192"/>
    </row>
    <row r="39" spans="1:70" ht="15.9" customHeight="1" thickTop="1">
      <c r="A39" s="54">
        <v>20</v>
      </c>
      <c r="B39" s="22"/>
      <c r="C39" s="8" t="s">
        <v>57</v>
      </c>
      <c r="D39" s="23" t="s">
        <v>57</v>
      </c>
      <c r="E39" s="8" t="s">
        <v>39</v>
      </c>
      <c r="F39" s="188">
        <f>[1]AcreSummary!M13</f>
        <v>7.4351907691289715E-2</v>
      </c>
      <c r="G39" s="25"/>
      <c r="H39" s="117"/>
      <c r="I39" s="57">
        <f>[1]Native!E11</f>
        <v>4.43</v>
      </c>
      <c r="J39" s="58">
        <f>[1]Native!F11</f>
        <v>4.49</v>
      </c>
      <c r="K39" s="80">
        <f>[1]Native!G11</f>
        <v>4.72</v>
      </c>
      <c r="L39" s="68">
        <f>[1]Native!H11</f>
        <v>4.7</v>
      </c>
      <c r="M39" s="58">
        <f>[1]Native!I11</f>
        <v>4.76</v>
      </c>
      <c r="N39" s="81">
        <f>[1]Native!J11</f>
        <v>4.6900000000000004</v>
      </c>
      <c r="O39" s="62">
        <v>4.67</v>
      </c>
      <c r="P39" s="81">
        <f>[1]Native!K11</f>
        <v>4.62</v>
      </c>
      <c r="Q39" s="82">
        <f>[1]Native!L11</f>
        <v>4.43</v>
      </c>
      <c r="R39" s="83">
        <v>4.43</v>
      </c>
      <c r="S39" s="84">
        <f>[1]Native!M11</f>
        <v>4.2699999999999996</v>
      </c>
      <c r="T39" s="66">
        <f>[1]Native!N11</f>
        <v>4.07</v>
      </c>
      <c r="U39" s="67">
        <f>[1]Native!O11</f>
        <v>3.81</v>
      </c>
      <c r="V39" s="68">
        <f>[1]Native!P11</f>
        <v>-0.95</v>
      </c>
      <c r="W39" s="68">
        <f>[1]Native!Q11</f>
        <v>-1.33</v>
      </c>
      <c r="X39" s="68">
        <v>-1.1399999999999999</v>
      </c>
      <c r="Y39" s="68">
        <v>-0.98</v>
      </c>
      <c r="Z39" s="68">
        <v>-0.04</v>
      </c>
      <c r="AA39" s="68">
        <v>1.52</v>
      </c>
      <c r="AB39" s="68">
        <v>3.15</v>
      </c>
      <c r="AC39" s="68">
        <v>4.83</v>
      </c>
      <c r="AD39" s="68">
        <v>5.74</v>
      </c>
      <c r="AE39" s="68">
        <v>6.09</v>
      </c>
      <c r="AF39" s="68">
        <v>5.85</v>
      </c>
      <c r="AG39" s="69">
        <v>5.64</v>
      </c>
      <c r="AH39" s="70">
        <v>5.24</v>
      </c>
      <c r="AI39" s="70">
        <v>4.58</v>
      </c>
      <c r="AJ39" s="70">
        <v>4.18</v>
      </c>
      <c r="AK39" s="8">
        <f t="shared" si="2"/>
        <v>31</v>
      </c>
      <c r="AL39" s="8">
        <f t="shared" si="3"/>
        <v>32</v>
      </c>
      <c r="AM39" s="85">
        <f t="shared" si="4"/>
        <v>31</v>
      </c>
      <c r="AN39" s="23">
        <f t="shared" si="5"/>
        <v>32</v>
      </c>
      <c r="AO39" s="85">
        <f t="shared" si="6"/>
        <v>33</v>
      </c>
      <c r="AP39" s="72">
        <f t="shared" si="7"/>
        <v>32</v>
      </c>
      <c r="AQ39" s="71">
        <f t="shared" si="11"/>
        <v>31</v>
      </c>
      <c r="AR39" s="71">
        <f t="shared" si="11"/>
        <v>31</v>
      </c>
      <c r="AS39" s="71">
        <f t="shared" si="14"/>
        <v>29</v>
      </c>
      <c r="AT39" s="71">
        <f t="shared" si="15"/>
        <v>28</v>
      </c>
      <c r="AU39" s="71">
        <f t="shared" si="12"/>
        <v>26</v>
      </c>
      <c r="AV39" s="72">
        <f>IF(ROUND(V39/VLOOKUP($C39,CapRate,12),0)&gt;10,V39/VLOOKUP($C39,CapRate,12),10)</f>
        <v>10</v>
      </c>
      <c r="AW39" s="72">
        <f>IF(ROUND(W39/VLOOKUP($C39,CapRate,13),0)&gt;10,W39/VLOOKUP($C39,CapRate,13),10)</f>
        <v>10</v>
      </c>
      <c r="AX39" s="72">
        <f>IF(ROUND(X39/VLOOKUP($C39,CapRate,14),0)&gt;10,X39/VLOOKUP($C39,CapRate,14),10)</f>
        <v>10</v>
      </c>
      <c r="AY39" s="72">
        <f>IF(ROUND(Y39/VLOOKUP($C39,CapRate,15),0)&gt;10,Y39/VLOOKUP($C39,CapRate,15),10)</f>
        <v>10</v>
      </c>
      <c r="AZ39" s="72">
        <f>IF(ROUND(Z39/VLOOKUP($C39,CapRate,16),0)&gt;10,Z39/VLOOKUP($C39,CapRate,16),10)</f>
        <v>10</v>
      </c>
      <c r="BA39" s="72">
        <f>IF(ROUND(AA39/VLOOKUP($C39,CapRate,17),0)&gt;10,AA39/VLOOKUP($C39,CapRate,17),10)</f>
        <v>10</v>
      </c>
      <c r="BB39" s="72">
        <f>IF(ROUND(AB39/VLOOKUP($C39,CapRate,18),0)&gt;10,AB39/VLOOKUP($C39,CapRate,18),10)</f>
        <v>19.699812382739214</v>
      </c>
      <c r="BC39" s="72">
        <f>IF(ROUND(AC39/VLOOKUP($C39,CapRate,19),0)&gt;10,AC39/VLOOKUP($C39,CapRate,19),10)</f>
        <v>29.833230389129096</v>
      </c>
      <c r="BD39" s="72">
        <f>IF(ROUND(AD39/VLOOKUP($C39,CapRate,20),0)&gt;10,AD39/VLOOKUP($C39,CapRate,20),10)</f>
        <v>34.978671541742841</v>
      </c>
      <c r="BE39" s="72">
        <f>IF(ROUND(AE39/VLOOKUP($C39,CapRate,21),0)&gt;10,AE39/VLOOKUP($C39,CapRate,21),10)</f>
        <v>36.708860759493675</v>
      </c>
      <c r="BF39" s="72">
        <f>IF(ROUND(AF39/VLOOKUP($C39,CapRate,22),0)&gt;10,AF39/VLOOKUP($C39,CapRate,22),10)</f>
        <v>35.219747140276937</v>
      </c>
      <c r="BG39" s="72">
        <f>IF(ROUND(AG39/VLOOKUP($C39,CapRate,23),0)&gt;10,AG39/VLOOKUP($C39,CapRate,23),10)</f>
        <v>33.792690233672857</v>
      </c>
      <c r="BH39" s="72">
        <f>IF(ROUND(AH39/VLOOKUP($C39,CapRate,24),0)&gt;10,AH39/VLOOKUP($C39,CapRate,24),10)</f>
        <v>31.171921475312317</v>
      </c>
      <c r="BI39" s="72">
        <f>IF(ROUND(AI39/VLOOKUP($C39,CapRate,25),0)&gt;10,AI39/VLOOKUP($C39,CapRate,25),10)</f>
        <v>27.020648967551622</v>
      </c>
      <c r="BJ39" s="72">
        <f>IF(ROUND(AJ39/VLOOKUP($C39,CapRate,26),0)&gt;10,AJ39/VLOOKUP($C39,CapRate,26),10)</f>
        <v>24.302325581395348</v>
      </c>
      <c r="BK39" s="75">
        <f t="shared" si="13"/>
        <v>-0.10060170610338182</v>
      </c>
      <c r="BL39" s="76"/>
      <c r="BM39" s="77">
        <f>BK39</f>
        <v>-0.10060170610338182</v>
      </c>
      <c r="BN39" s="77"/>
      <c r="BO39" s="77"/>
      <c r="BP39" s="88"/>
    </row>
    <row r="40" spans="1:70" ht="15.9" customHeight="1">
      <c r="A40" s="54">
        <v>20</v>
      </c>
      <c r="B40" s="22"/>
      <c r="C40" s="8" t="s">
        <v>57</v>
      </c>
      <c r="D40" s="23"/>
      <c r="E40" s="8" t="s">
        <v>40</v>
      </c>
      <c r="F40" s="188">
        <f>[1]AcreSummary!J13</f>
        <v>0.88839747746583675</v>
      </c>
      <c r="G40" s="25"/>
      <c r="H40" s="117"/>
      <c r="I40" s="57">
        <f>[1]Dry!E13</f>
        <v>11.97</v>
      </c>
      <c r="J40" s="58">
        <f>[1]Dry!F13</f>
        <v>11.82</v>
      </c>
      <c r="K40" s="80">
        <f>[1]Dry!G13</f>
        <v>12.21</v>
      </c>
      <c r="L40" s="68">
        <f>[1]Dry!H13</f>
        <v>12.7</v>
      </c>
      <c r="M40" s="58">
        <f>[1]Dry!I13</f>
        <v>13.09</v>
      </c>
      <c r="N40" s="81">
        <f>[1]Dry!J13</f>
        <v>13.59</v>
      </c>
      <c r="O40" s="62">
        <v>13.56</v>
      </c>
      <c r="P40" s="81">
        <f>[1]Dry!K13</f>
        <v>13.37</v>
      </c>
      <c r="Q40" s="82">
        <f>[1]Dry!L13</f>
        <v>13.07</v>
      </c>
      <c r="R40" s="83">
        <f>Q40*0.95</f>
        <v>12.416499999999999</v>
      </c>
      <c r="S40" s="84">
        <f>[1]Dry!N13</f>
        <v>12.12</v>
      </c>
      <c r="T40" s="66">
        <f>[1]Dry!O13</f>
        <v>11.1</v>
      </c>
      <c r="U40" s="67">
        <f>[1]Dry!P13</f>
        <v>9.7899999999999991</v>
      </c>
      <c r="V40" s="68">
        <f>[1]Dry!Q13</f>
        <v>5.0199999999999996</v>
      </c>
      <c r="W40" s="68">
        <f>[1]Dry!R13</f>
        <v>6.06</v>
      </c>
      <c r="X40" s="68">
        <f>[1]Dry!S13</f>
        <v>7.51</v>
      </c>
      <c r="Y40" s="68">
        <f>[1]Dry!T13</f>
        <v>10.14</v>
      </c>
      <c r="Z40" s="68">
        <v>12.37</v>
      </c>
      <c r="AA40" s="68">
        <v>14.58</v>
      </c>
      <c r="AB40" s="68">
        <v>16.170000000000002</v>
      </c>
      <c r="AC40" s="68">
        <v>17.2</v>
      </c>
      <c r="AD40" s="68">
        <v>17.27</v>
      </c>
      <c r="AE40" s="68">
        <v>16.54</v>
      </c>
      <c r="AF40" s="68">
        <v>15.91</v>
      </c>
      <c r="AG40" s="69">
        <v>14.15</v>
      </c>
      <c r="AH40" s="70">
        <v>11.91</v>
      </c>
      <c r="AI40" s="70">
        <v>7.94</v>
      </c>
      <c r="AJ40" s="70">
        <v>5.03</v>
      </c>
      <c r="AK40" s="8">
        <f t="shared" si="2"/>
        <v>80</v>
      </c>
      <c r="AL40" s="8">
        <f t="shared" si="3"/>
        <v>83</v>
      </c>
      <c r="AM40" s="85">
        <f t="shared" si="4"/>
        <v>85</v>
      </c>
      <c r="AN40" s="23">
        <f t="shared" si="5"/>
        <v>89</v>
      </c>
      <c r="AO40" s="85">
        <f t="shared" si="6"/>
        <v>95</v>
      </c>
      <c r="AP40" s="72">
        <f t="shared" si="7"/>
        <v>94</v>
      </c>
      <c r="AQ40" s="71">
        <f t="shared" si="11"/>
        <v>91</v>
      </c>
      <c r="AR40" s="71">
        <f t="shared" si="11"/>
        <v>86</v>
      </c>
      <c r="AS40" s="71">
        <f t="shared" si="14"/>
        <v>84</v>
      </c>
      <c r="AT40" s="71">
        <f t="shared" si="15"/>
        <v>76</v>
      </c>
      <c r="AU40" s="71">
        <f t="shared" si="12"/>
        <v>67</v>
      </c>
      <c r="AV40" s="72">
        <f t="shared" si="16"/>
        <v>34</v>
      </c>
      <c r="AW40" s="72">
        <f>ROUND(W40/VLOOKUP($C40,CapRate,13),0)</f>
        <v>41</v>
      </c>
      <c r="AX40" s="72">
        <f>ROUND(X40/VLOOKUP($C40,CapRate,14),0)</f>
        <v>50</v>
      </c>
      <c r="AY40" s="72">
        <f>ROUND(Y40/VLOOKUP($C40,CapRate,15),0)</f>
        <v>66</v>
      </c>
      <c r="AZ40" s="72">
        <f>ROUND(Z40/VLOOKUP($C40,CapRate,16),0)</f>
        <v>80</v>
      </c>
      <c r="BA40" s="72">
        <f>ROUND(AA40/VLOOKUP($C40,CapRate,17),0)</f>
        <v>92</v>
      </c>
      <c r="BB40" s="72">
        <f>ROUND(AB40/VLOOKUP($C40,CapRate,18),0)</f>
        <v>101</v>
      </c>
      <c r="BC40" s="72">
        <f>ROUND(AC40/VLOOKUP($C40,CapRate,19),0)</f>
        <v>106</v>
      </c>
      <c r="BD40" s="72">
        <f>ROUND(AD40/VLOOKUP($C40,CapRate,20),0)</f>
        <v>105</v>
      </c>
      <c r="BE40" s="72">
        <f>ROUND(AE40/VLOOKUP($C40,CapRate,21),0)</f>
        <v>100</v>
      </c>
      <c r="BF40" s="72">
        <f>ROUND(AF40/VLOOKUP($C40,CapRate,22),0)</f>
        <v>96</v>
      </c>
      <c r="BG40" s="72">
        <f>ROUND(AG40/VLOOKUP($C40,CapRate,23),0)</f>
        <v>85</v>
      </c>
      <c r="BH40" s="72">
        <f>ROUND(AH40/VLOOKUP($C40,CapRate,24),0)</f>
        <v>71</v>
      </c>
      <c r="BI40" s="72">
        <f>ROUND(AI40/VLOOKUP($C40,CapRate,25),0)</f>
        <v>47</v>
      </c>
      <c r="BJ40" s="72">
        <f>ROUND(AJ40/VLOOKUP($C40,CapRate,26),0)</f>
        <v>29</v>
      </c>
      <c r="BK40" s="87">
        <f t="shared" si="13"/>
        <v>-0.38297872340425532</v>
      </c>
      <c r="BL40" s="76"/>
      <c r="BM40" s="77"/>
      <c r="BN40" s="77">
        <f>BK40</f>
        <v>-0.38297872340425532</v>
      </c>
      <c r="BO40" s="77"/>
      <c r="BP40" s="88"/>
    </row>
    <row r="41" spans="1:70" ht="15.9" customHeight="1" thickBot="1">
      <c r="A41" s="89">
        <v>20</v>
      </c>
      <c r="B41" s="22"/>
      <c r="C41" s="90" t="s">
        <v>57</v>
      </c>
      <c r="D41" s="91"/>
      <c r="E41" s="90" t="s">
        <v>41</v>
      </c>
      <c r="F41" s="190">
        <f>[1]AcreSummary!K13</f>
        <v>3.7250614842873557E-2</v>
      </c>
      <c r="G41" s="191">
        <f>[1]Irrigated!D13</f>
        <v>200</v>
      </c>
      <c r="H41" s="94">
        <f>[1]Irrigated!E13</f>
        <v>0.92</v>
      </c>
      <c r="I41" s="95"/>
      <c r="J41" s="96">
        <f>[1]Irrigated!H13</f>
        <v>16.21</v>
      </c>
      <c r="K41" s="97">
        <f>[1]Irrigated!I13</f>
        <v>18.25</v>
      </c>
      <c r="L41" s="98">
        <f>[1]Irrigated!J13</f>
        <v>19.88</v>
      </c>
      <c r="M41" s="96">
        <f>[1]Irrigated!K13</f>
        <v>22.39</v>
      </c>
      <c r="N41" s="99">
        <f>[1]Irrigated!L13</f>
        <v>24.09</v>
      </c>
      <c r="O41" s="100">
        <v>19.36</v>
      </c>
      <c r="P41" s="99">
        <f>[1]Irrigated!M13</f>
        <v>23.91</v>
      </c>
      <c r="Q41" s="101">
        <f>[1]Irrigated!N13</f>
        <v>23.02</v>
      </c>
      <c r="R41" s="102">
        <v>23.02</v>
      </c>
      <c r="S41" s="103">
        <f>[1]Irrigated!O13</f>
        <v>21.85</v>
      </c>
      <c r="T41" s="104">
        <f>[1]Irrigated!P13</f>
        <v>21.83</v>
      </c>
      <c r="U41" s="105">
        <f>[1]Irrigated!Q13</f>
        <v>20.04</v>
      </c>
      <c r="V41" s="98">
        <f>[1]Irrigated!R13</f>
        <v>13.08</v>
      </c>
      <c r="W41" s="98">
        <f>[1]Irrigated!S13</f>
        <v>17.91</v>
      </c>
      <c r="X41" s="98">
        <v>24.53</v>
      </c>
      <c r="Y41" s="98">
        <v>34.1</v>
      </c>
      <c r="Z41" s="98">
        <v>44.96</v>
      </c>
      <c r="AA41" s="98">
        <v>56.19</v>
      </c>
      <c r="AB41" s="98">
        <v>67.98</v>
      </c>
      <c r="AC41" s="98">
        <v>77.22</v>
      </c>
      <c r="AD41" s="98">
        <v>82.24</v>
      </c>
      <c r="AE41" s="98">
        <v>84.38</v>
      </c>
      <c r="AF41" s="98">
        <v>82.33</v>
      </c>
      <c r="AG41" s="106">
        <v>80.11</v>
      </c>
      <c r="AH41" s="107">
        <v>73.69</v>
      </c>
      <c r="AI41" s="107">
        <v>63.88</v>
      </c>
      <c r="AJ41" s="107">
        <v>58.94</v>
      </c>
      <c r="AK41" s="90">
        <f t="shared" si="2"/>
        <v>110</v>
      </c>
      <c r="AL41" s="90">
        <f t="shared" si="3"/>
        <v>124</v>
      </c>
      <c r="AM41" s="108">
        <f t="shared" si="4"/>
        <v>133</v>
      </c>
      <c r="AN41" s="91">
        <f t="shared" si="5"/>
        <v>152</v>
      </c>
      <c r="AO41" s="108">
        <f t="shared" si="6"/>
        <v>135</v>
      </c>
      <c r="AP41" s="109">
        <f t="shared" si="7"/>
        <v>167</v>
      </c>
      <c r="AQ41" s="110">
        <f t="shared" si="11"/>
        <v>160</v>
      </c>
      <c r="AR41" s="110">
        <f t="shared" si="11"/>
        <v>160</v>
      </c>
      <c r="AS41" s="110">
        <f t="shared" si="14"/>
        <v>151</v>
      </c>
      <c r="AT41" s="110">
        <f t="shared" si="15"/>
        <v>150</v>
      </c>
      <c r="AU41" s="110">
        <f t="shared" si="12"/>
        <v>137</v>
      </c>
      <c r="AV41" s="109">
        <f t="shared" si="16"/>
        <v>88</v>
      </c>
      <c r="AW41" s="109">
        <f>ROUND(W41/VLOOKUP($C41,CapRate,13),0)</f>
        <v>121</v>
      </c>
      <c r="AX41" s="109">
        <f>ROUND(X41/VLOOKUP($C41,CapRate,14),0)</f>
        <v>163</v>
      </c>
      <c r="AY41" s="109">
        <f>ROUND(Y41/VLOOKUP($C41,CapRate,15),0)</f>
        <v>222</v>
      </c>
      <c r="AZ41" s="109">
        <f>ROUND(Z41/VLOOKUP($C41,CapRate,16),0)</f>
        <v>291</v>
      </c>
      <c r="BA41" s="109">
        <f>ROUND(AA41/VLOOKUP($C41,CapRate,17),0)</f>
        <v>356</v>
      </c>
      <c r="BB41" s="109">
        <f>ROUND(AB41/VLOOKUP($C41,CapRate,18),0)</f>
        <v>425</v>
      </c>
      <c r="BC41" s="109">
        <f>ROUND(AC41/VLOOKUP($C41,CapRate,19),0)</f>
        <v>477</v>
      </c>
      <c r="BD41" s="109">
        <f>ROUND(AD41/VLOOKUP($C41,CapRate,20),0)</f>
        <v>501</v>
      </c>
      <c r="BE41" s="109">
        <f>ROUND(AE41/VLOOKUP($C41,CapRate,21),0)</f>
        <v>509</v>
      </c>
      <c r="BF41" s="109">
        <f>ROUND(AF41/VLOOKUP($C41,CapRate,22),0)</f>
        <v>496</v>
      </c>
      <c r="BG41" s="109">
        <f>ROUND(AG41/VLOOKUP($C41,CapRate,23),0)</f>
        <v>480</v>
      </c>
      <c r="BH41" s="109">
        <f>ROUND(AH41/VLOOKUP($C41,CapRate,24),0)</f>
        <v>438</v>
      </c>
      <c r="BI41" s="109">
        <f>ROUND(AI41/VLOOKUP($C41,CapRate,25),0)</f>
        <v>377</v>
      </c>
      <c r="BJ41" s="109">
        <f>ROUND(AJ41/VLOOKUP($C41,CapRate,26),0)</f>
        <v>343</v>
      </c>
      <c r="BK41" s="113">
        <f t="shared" si="13"/>
        <v>-9.0185676392572911E-2</v>
      </c>
      <c r="BL41" s="114">
        <f>((F39*BK39)+(F40*BK40)+(F41*BK41))</f>
        <v>-0.3510767324568555</v>
      </c>
      <c r="BM41" s="115"/>
      <c r="BN41" s="115"/>
      <c r="BO41" s="115">
        <f>BK41</f>
        <v>-9.0185676392572911E-2</v>
      </c>
      <c r="BP41" s="116"/>
    </row>
    <row r="42" spans="1:70" ht="15.9" customHeight="1" thickTop="1">
      <c r="A42" s="54">
        <v>20</v>
      </c>
      <c r="B42" s="22"/>
      <c r="C42" s="8" t="s">
        <v>58</v>
      </c>
      <c r="D42" s="23" t="s">
        <v>58</v>
      </c>
      <c r="E42" s="8" t="s">
        <v>39</v>
      </c>
      <c r="F42" s="188">
        <f>[1]AcreSummary!M14</f>
        <v>0.29561131032934657</v>
      </c>
      <c r="G42" s="25"/>
      <c r="H42" s="117"/>
      <c r="I42" s="57">
        <f>[1]Native!E12</f>
        <v>4.07</v>
      </c>
      <c r="J42" s="58">
        <f>[1]Native!F12</f>
        <v>4.1399999999999997</v>
      </c>
      <c r="K42" s="80">
        <f>[1]Native!G12</f>
        <v>4.3899999999999997</v>
      </c>
      <c r="L42" s="68">
        <f>[1]Native!H12</f>
        <v>4.3899999999999997</v>
      </c>
      <c r="M42" s="58">
        <f>[1]Native!I12</f>
        <v>4.4800000000000004</v>
      </c>
      <c r="N42" s="81">
        <f>[1]Native!J12</f>
        <v>4.43</v>
      </c>
      <c r="O42" s="62">
        <v>4.3899999999999997</v>
      </c>
      <c r="P42" s="81">
        <f>[1]Native!K12</f>
        <v>4.4000000000000004</v>
      </c>
      <c r="Q42" s="82">
        <f>[1]Native!L12</f>
        <v>4.25</v>
      </c>
      <c r="R42" s="83">
        <v>4.25</v>
      </c>
      <c r="S42" s="84">
        <f>[1]Native!M12</f>
        <v>4.13</v>
      </c>
      <c r="T42" s="66">
        <f>[1]Native!N12</f>
        <v>3.97</v>
      </c>
      <c r="U42" s="67">
        <f>[1]Native!O12</f>
        <v>3.72</v>
      </c>
      <c r="V42" s="68">
        <f>[1]Native!P12</f>
        <v>-1.1599999999999999</v>
      </c>
      <c r="W42" s="68">
        <f>[1]Native!Q12</f>
        <v>-1.55</v>
      </c>
      <c r="X42" s="68">
        <v>-1.38</v>
      </c>
      <c r="Y42" s="68">
        <v>-1.24</v>
      </c>
      <c r="Z42" s="68">
        <v>-0.31</v>
      </c>
      <c r="AA42" s="68">
        <v>1.24</v>
      </c>
      <c r="AB42" s="68">
        <v>2.86</v>
      </c>
      <c r="AC42" s="68">
        <v>4.33</v>
      </c>
      <c r="AD42" s="68">
        <v>5.26</v>
      </c>
      <c r="AE42" s="68">
        <v>5.61</v>
      </c>
      <c r="AF42" s="68">
        <v>5.36</v>
      </c>
      <c r="AG42" s="69">
        <v>5.14</v>
      </c>
      <c r="AH42" s="70">
        <v>4.7300000000000004</v>
      </c>
      <c r="AI42" s="70">
        <v>4.0599999999999996</v>
      </c>
      <c r="AJ42" s="70">
        <v>3.64</v>
      </c>
      <c r="AK42" s="8">
        <f t="shared" si="2"/>
        <v>26</v>
      </c>
      <c r="AL42" s="8">
        <f t="shared" si="3"/>
        <v>28</v>
      </c>
      <c r="AM42" s="85">
        <f t="shared" si="4"/>
        <v>28</v>
      </c>
      <c r="AN42" s="23">
        <f t="shared" si="5"/>
        <v>29</v>
      </c>
      <c r="AO42" s="85">
        <f t="shared" si="6"/>
        <v>29</v>
      </c>
      <c r="AP42" s="72">
        <f t="shared" si="7"/>
        <v>29</v>
      </c>
      <c r="AQ42" s="71">
        <f t="shared" si="11"/>
        <v>28</v>
      </c>
      <c r="AR42" s="71">
        <f t="shared" si="11"/>
        <v>28</v>
      </c>
      <c r="AS42" s="71">
        <f t="shared" si="14"/>
        <v>28</v>
      </c>
      <c r="AT42" s="71">
        <f t="shared" si="15"/>
        <v>27</v>
      </c>
      <c r="AU42" s="71">
        <f t="shared" si="12"/>
        <v>25</v>
      </c>
      <c r="AV42" s="122">
        <f>IF(ROUND(V42/VLOOKUP($C42,CapRate,12),0)&gt;10,V42/VLOOKUP($C42,CapRate,12),10)</f>
        <v>10</v>
      </c>
      <c r="AW42" s="122">
        <f>IF(ROUND(W42/VLOOKUP($C42,CapRate,13),0)&gt;10,W42/VLOOKUP($C42,CapRate,13),10)</f>
        <v>10</v>
      </c>
      <c r="AX42" s="122">
        <f>IF(ROUND(X42/VLOOKUP($C42,CapRate,14),0)&gt;10,X42/VLOOKUP($C42,CapRate,14),10)</f>
        <v>10</v>
      </c>
      <c r="AY42" s="122">
        <f>IF(ROUND(Y42/VLOOKUP($C42,CapRate,15),0)&gt;10,Y42/VLOOKUP($C42,CapRate,15),10)</f>
        <v>10</v>
      </c>
      <c r="AZ42" s="122">
        <f>IF(ROUND(Z42/VLOOKUP($C42,CapRate,16),0)&gt;10,Z42/VLOOKUP($C42,CapRate,16),10)</f>
        <v>10</v>
      </c>
      <c r="BA42" s="122">
        <f>IF(ROUND(AA42/VLOOKUP($C42,CapRate,17),0)&gt;10,AA42/VLOOKUP($C42,CapRate,17),10)</f>
        <v>10</v>
      </c>
      <c r="BB42" s="122">
        <f>IF(ROUND(AB42/VLOOKUP($C42,CapRate,18),0)&gt;10,AB42/VLOOKUP($C42,CapRate,18),10)</f>
        <v>18.865435356200525</v>
      </c>
      <c r="BC42" s="122">
        <f>IF(ROUND(AC42/VLOOKUP($C42,CapRate,19),0)&gt;10,AC42/VLOOKUP($C42,CapRate,19),10)</f>
        <v>28.208469055374593</v>
      </c>
      <c r="BD42" s="122">
        <f>IF(ROUND(AD42/VLOOKUP($C42,CapRate,20),0)&gt;10,AD42/VLOOKUP($C42,CapRate,20),10)</f>
        <v>33.891752577319586</v>
      </c>
      <c r="BE42" s="122">
        <f>IF(ROUND(AE42/VLOOKUP($C42,CapRate,21),0)&gt;10,AE42/VLOOKUP($C42,CapRate,21),10)</f>
        <v>35.755258126195031</v>
      </c>
      <c r="BF42" s="122">
        <f>IF(ROUND(AF42/VLOOKUP($C42,CapRate,22),0)&gt;10,AF42/VLOOKUP($C42,CapRate,22),10)</f>
        <v>33.94553514882837</v>
      </c>
      <c r="BG42" s="122">
        <f>IF(ROUND(AG42/VLOOKUP($C42,CapRate,23),0)&gt;10,AG42/VLOOKUP($C42,CapRate,23),10)</f>
        <v>32.286432160804019</v>
      </c>
      <c r="BH42" s="122">
        <f>IF(ROUND(AH42/VLOOKUP($C42,CapRate,24),0)&gt;10,AH42/VLOOKUP($C42,CapRate,24),10)</f>
        <v>29.544034978138669</v>
      </c>
      <c r="BI42" s="122">
        <f>IF(ROUND(AI42/VLOOKUP($C42,CapRate,25),0)&gt;10,AI42/VLOOKUP($C42,CapRate,25),10)</f>
        <v>25.343320848938824</v>
      </c>
      <c r="BJ42" s="122">
        <f>IF(ROUND(AJ42/VLOOKUP($C42,CapRate,26),0)&gt;10,AJ42/VLOOKUP($C42,CapRate,26),10)</f>
        <v>22.707423580786028</v>
      </c>
      <c r="BK42" s="75">
        <f t="shared" si="13"/>
        <v>-0.10400757200937882</v>
      </c>
      <c r="BL42" s="76"/>
      <c r="BM42" s="77">
        <f>BK42</f>
        <v>-0.10400757200937882</v>
      </c>
      <c r="BN42" s="77"/>
      <c r="BO42" s="77"/>
      <c r="BP42" s="88"/>
    </row>
    <row r="43" spans="1:70" ht="15.9" customHeight="1">
      <c r="A43" s="54">
        <v>20</v>
      </c>
      <c r="B43" s="22"/>
      <c r="C43" s="8" t="s">
        <v>58</v>
      </c>
      <c r="D43" s="23"/>
      <c r="E43" s="8" t="s">
        <v>40</v>
      </c>
      <c r="F43" s="188">
        <f>[1]AcreSummary!J14</f>
        <v>0.66599251189146147</v>
      </c>
      <c r="G43" s="25"/>
      <c r="H43" s="117"/>
      <c r="I43" s="57">
        <f>[1]Dry!E14</f>
        <v>12.29</v>
      </c>
      <c r="J43" s="58">
        <f>[1]Dry!F14</f>
        <v>12.05</v>
      </c>
      <c r="K43" s="80">
        <f>[1]Dry!G14</f>
        <v>12.36</v>
      </c>
      <c r="L43" s="68">
        <f>[1]Dry!H14</f>
        <v>12.79</v>
      </c>
      <c r="M43" s="58">
        <f>[1]Dry!I14</f>
        <v>13.16</v>
      </c>
      <c r="N43" s="81">
        <f>[1]Dry!J14</f>
        <v>13.64</v>
      </c>
      <c r="O43" s="62">
        <v>13.65</v>
      </c>
      <c r="P43" s="81">
        <f>[1]Dry!K14</f>
        <v>13.5</v>
      </c>
      <c r="Q43" s="82">
        <f>[1]Dry!L14</f>
        <v>13.34</v>
      </c>
      <c r="R43" s="83">
        <f>Q43*0.95</f>
        <v>12.673</v>
      </c>
      <c r="S43" s="84">
        <f>[1]Dry!N14</f>
        <v>12.59</v>
      </c>
      <c r="T43" s="66">
        <f>[1]Dry!O14</f>
        <v>11.81</v>
      </c>
      <c r="U43" s="67">
        <f>[1]Dry!P14</f>
        <v>10.7</v>
      </c>
      <c r="V43" s="68">
        <f>[1]Dry!Q14</f>
        <v>6.8</v>
      </c>
      <c r="W43" s="68">
        <f>[1]Dry!R14</f>
        <v>7.48</v>
      </c>
      <c r="X43" s="68">
        <f>[1]Dry!S14</f>
        <v>8.84</v>
      </c>
      <c r="Y43" s="68">
        <f>[1]Dry!T14</f>
        <v>11.11</v>
      </c>
      <c r="Z43" s="68">
        <v>12.05</v>
      </c>
      <c r="AA43" s="68">
        <v>14.43</v>
      </c>
      <c r="AB43" s="68">
        <v>16.37</v>
      </c>
      <c r="AC43" s="68">
        <v>18.149999999999999</v>
      </c>
      <c r="AD43" s="68">
        <v>18.95</v>
      </c>
      <c r="AE43" s="68">
        <v>19.13</v>
      </c>
      <c r="AF43" s="68">
        <v>19.440000000000001</v>
      </c>
      <c r="AG43" s="69">
        <v>19.16</v>
      </c>
      <c r="AH43" s="70">
        <v>18</v>
      </c>
      <c r="AI43" s="70">
        <v>14.51</v>
      </c>
      <c r="AJ43" s="70">
        <v>12.55</v>
      </c>
      <c r="AK43" s="8">
        <f t="shared" si="2"/>
        <v>77</v>
      </c>
      <c r="AL43" s="8">
        <f t="shared" si="3"/>
        <v>79</v>
      </c>
      <c r="AM43" s="85">
        <f t="shared" si="4"/>
        <v>80</v>
      </c>
      <c r="AN43" s="23">
        <f t="shared" si="5"/>
        <v>84</v>
      </c>
      <c r="AO43" s="85">
        <f t="shared" si="6"/>
        <v>90</v>
      </c>
      <c r="AP43" s="72">
        <f t="shared" si="7"/>
        <v>90</v>
      </c>
      <c r="AQ43" s="71">
        <f t="shared" si="11"/>
        <v>89</v>
      </c>
      <c r="AR43" s="71">
        <f t="shared" si="11"/>
        <v>84</v>
      </c>
      <c r="AS43" s="71">
        <f t="shared" si="14"/>
        <v>84</v>
      </c>
      <c r="AT43" s="71">
        <f t="shared" si="15"/>
        <v>79</v>
      </c>
      <c r="AU43" s="71">
        <f t="shared" si="12"/>
        <v>71</v>
      </c>
      <c r="AV43" s="72">
        <f t="shared" si="16"/>
        <v>45</v>
      </c>
      <c r="AW43" s="72">
        <f>ROUND(W43/VLOOKUP($C43,CapRate,13),0)</f>
        <v>50</v>
      </c>
      <c r="AX43" s="72">
        <f>ROUND(X43/VLOOKUP($C43,CapRate,14),0)</f>
        <v>59</v>
      </c>
      <c r="AY43" s="72">
        <f>ROUND(Y43/VLOOKUP($C43,CapRate,15),0)</f>
        <v>74</v>
      </c>
      <c r="AZ43" s="72">
        <f>ROUND(Z43/VLOOKUP($C43,CapRate,16),0)</f>
        <v>80</v>
      </c>
      <c r="BA43" s="72">
        <f>ROUND(AA43/VLOOKUP($C43,CapRate,17),0)</f>
        <v>96</v>
      </c>
      <c r="BB43" s="72">
        <f>ROUND(AB43/VLOOKUP($C43,CapRate,18),0)</f>
        <v>108</v>
      </c>
      <c r="BC43" s="72">
        <f>ROUND(AC43/VLOOKUP($C43,CapRate,19),0)</f>
        <v>118</v>
      </c>
      <c r="BD43" s="72">
        <f>ROUND(AD43/VLOOKUP($C43,CapRate,20),0)</f>
        <v>122</v>
      </c>
      <c r="BE43" s="72">
        <f>ROUND(AE43/VLOOKUP($C43,CapRate,21),0)</f>
        <v>122</v>
      </c>
      <c r="BF43" s="72">
        <f>ROUND(AF43/VLOOKUP($C43,CapRate,22),0)</f>
        <v>123</v>
      </c>
      <c r="BG43" s="72">
        <f>ROUND(AG43/VLOOKUP($C43,CapRate,23),0)</f>
        <v>120</v>
      </c>
      <c r="BH43" s="72">
        <f>ROUND(AH43/VLOOKUP($C43,CapRate,24),0)</f>
        <v>112</v>
      </c>
      <c r="BI43" s="72">
        <f>ROUND(AI43/VLOOKUP($C43,CapRate,25),0)</f>
        <v>91</v>
      </c>
      <c r="BJ43" s="72">
        <f>ROUND(AJ43/VLOOKUP($C43,CapRate,26),0)</f>
        <v>78</v>
      </c>
      <c r="BK43" s="87">
        <f t="shared" si="13"/>
        <v>-0.1428571428571429</v>
      </c>
      <c r="BL43" s="76"/>
      <c r="BM43" s="77"/>
      <c r="BN43" s="77">
        <f>BK43</f>
        <v>-0.1428571428571429</v>
      </c>
      <c r="BO43" s="77"/>
      <c r="BP43" s="88"/>
    </row>
    <row r="44" spans="1:70" ht="15.9" customHeight="1">
      <c r="A44" s="89">
        <v>20</v>
      </c>
      <c r="B44" s="22"/>
      <c r="C44" s="90" t="s">
        <v>58</v>
      </c>
      <c r="D44" s="91"/>
      <c r="E44" s="90" t="s">
        <v>41</v>
      </c>
      <c r="F44" s="190">
        <f>[1]AcreSummary!K14</f>
        <v>3.839617777919202E-2</v>
      </c>
      <c r="G44" s="191">
        <f>[1]Irrigated!D14</f>
        <v>200</v>
      </c>
      <c r="H44" s="94">
        <f>[1]Irrigated!E14</f>
        <v>0.63</v>
      </c>
      <c r="I44" s="95"/>
      <c r="J44" s="96">
        <f>[1]Irrigated!H14</f>
        <v>15.93</v>
      </c>
      <c r="K44" s="97">
        <f>[1]Irrigated!I14</f>
        <v>18</v>
      </c>
      <c r="L44" s="98">
        <f>[1]Irrigated!J14</f>
        <v>19.670000000000002</v>
      </c>
      <c r="M44" s="96">
        <f>[1]Irrigated!K14</f>
        <v>22.24</v>
      </c>
      <c r="N44" s="99">
        <f>[1]Irrigated!L14</f>
        <v>24.02</v>
      </c>
      <c r="O44" s="100">
        <v>19.34</v>
      </c>
      <c r="P44" s="99">
        <f>[1]Irrigated!M14</f>
        <v>23.92</v>
      </c>
      <c r="Q44" s="101">
        <f>[1]Irrigated!N14</f>
        <v>23.13</v>
      </c>
      <c r="R44" s="102">
        <v>23.13</v>
      </c>
      <c r="S44" s="103">
        <f>[1]Irrigated!O14</f>
        <v>22.06</v>
      </c>
      <c r="T44" s="104">
        <f>[1]Irrigated!P14</f>
        <v>22.14</v>
      </c>
      <c r="U44" s="105">
        <f>[1]Irrigated!Q14</f>
        <v>20.41</v>
      </c>
      <c r="V44" s="98">
        <f>[1]Irrigated!R14</f>
        <v>20.03</v>
      </c>
      <c r="W44" s="98">
        <f>[1]Irrigated!S14</f>
        <v>15.45</v>
      </c>
      <c r="X44" s="98">
        <v>21.82</v>
      </c>
      <c r="Y44" s="98">
        <v>31.08</v>
      </c>
      <c r="Z44" s="98">
        <v>45.91</v>
      </c>
      <c r="AA44" s="98">
        <v>57.27</v>
      </c>
      <c r="AB44" s="98">
        <v>69.16</v>
      </c>
      <c r="AC44" s="98">
        <v>78.489999999999995</v>
      </c>
      <c r="AD44" s="98">
        <v>83.48</v>
      </c>
      <c r="AE44" s="98">
        <v>84.93</v>
      </c>
      <c r="AF44" s="98">
        <v>83.11</v>
      </c>
      <c r="AG44" s="106">
        <v>80.900000000000006</v>
      </c>
      <c r="AH44" s="107">
        <v>74.489999999999995</v>
      </c>
      <c r="AI44" s="107">
        <v>64.69</v>
      </c>
      <c r="AJ44" s="107">
        <v>59.78</v>
      </c>
      <c r="AK44" s="90">
        <f t="shared" si="2"/>
        <v>102</v>
      </c>
      <c r="AL44" s="90">
        <f t="shared" si="3"/>
        <v>114</v>
      </c>
      <c r="AM44" s="108">
        <f t="shared" si="4"/>
        <v>124</v>
      </c>
      <c r="AN44" s="91">
        <f t="shared" si="5"/>
        <v>142</v>
      </c>
      <c r="AO44" s="108">
        <f t="shared" si="6"/>
        <v>128</v>
      </c>
      <c r="AP44" s="109">
        <f t="shared" si="7"/>
        <v>159</v>
      </c>
      <c r="AQ44" s="110">
        <f t="shared" si="11"/>
        <v>154</v>
      </c>
      <c r="AR44" s="110">
        <f t="shared" si="11"/>
        <v>154</v>
      </c>
      <c r="AS44" s="110">
        <f t="shared" si="14"/>
        <v>147</v>
      </c>
      <c r="AT44" s="110">
        <f t="shared" si="15"/>
        <v>148</v>
      </c>
      <c r="AU44" s="110">
        <f t="shared" si="12"/>
        <v>136</v>
      </c>
      <c r="AV44" s="109">
        <f t="shared" si="16"/>
        <v>133</v>
      </c>
      <c r="AW44" s="109">
        <f>ROUND(W44/VLOOKUP($C44,CapRate,13),0)</f>
        <v>103</v>
      </c>
      <c r="AX44" s="109">
        <f>ROUND(X44/VLOOKUP($C44,CapRate,14),0)</f>
        <v>145</v>
      </c>
      <c r="AY44" s="109">
        <f>ROUND(Y44/VLOOKUP($C44,CapRate,15),0)</f>
        <v>207</v>
      </c>
      <c r="AZ44" s="109">
        <f>ROUND(Z44/VLOOKUP($C44,CapRate,16),0)</f>
        <v>306</v>
      </c>
      <c r="BA44" s="109">
        <f>ROUND(AA44/VLOOKUP($C44,CapRate,17),0)</f>
        <v>380</v>
      </c>
      <c r="BB44" s="109">
        <f>ROUND(AB44/VLOOKUP($C44,CapRate,18),0)</f>
        <v>456</v>
      </c>
      <c r="BC44" s="109">
        <f>ROUND(AC44/VLOOKUP($C44,CapRate,19),0)</f>
        <v>511</v>
      </c>
      <c r="BD44" s="109">
        <f>ROUND(AD44/VLOOKUP($C44,CapRate,20),0)</f>
        <v>538</v>
      </c>
      <c r="BE44" s="109">
        <f>ROUND(AE44/VLOOKUP($C44,CapRate,21),0)</f>
        <v>541</v>
      </c>
      <c r="BF44" s="109">
        <f>ROUND(AF44/VLOOKUP($C44,CapRate,22),0)</f>
        <v>526</v>
      </c>
      <c r="BG44" s="109">
        <f>ROUND(AG44/VLOOKUP($C44,CapRate,23),0)</f>
        <v>508</v>
      </c>
      <c r="BH44" s="109">
        <f>ROUND(AH44/VLOOKUP($C44,CapRate,24),0)</f>
        <v>465</v>
      </c>
      <c r="BI44" s="109">
        <f>ROUND(AI44/VLOOKUP($C44,CapRate,25),0)</f>
        <v>404</v>
      </c>
      <c r="BJ44" s="109">
        <f>ROUND(AJ44/VLOOKUP($C44,CapRate,26),0)</f>
        <v>373</v>
      </c>
      <c r="BK44" s="113">
        <f t="shared" si="13"/>
        <v>-7.673267326732669E-2</v>
      </c>
      <c r="BL44" s="114">
        <f>((F42*BK42)+(F43*BK43)+(F44*BK44))</f>
        <v>-0.12883384342317722</v>
      </c>
      <c r="BM44" s="115"/>
      <c r="BN44" s="115"/>
      <c r="BO44" s="115">
        <f>BK44</f>
        <v>-7.673267326732669E-2</v>
      </c>
      <c r="BP44" s="116"/>
    </row>
    <row r="45" spans="1:70" ht="15.9" customHeight="1">
      <c r="A45" s="54">
        <v>20</v>
      </c>
      <c r="B45" s="22"/>
      <c r="C45" s="8" t="s">
        <v>59</v>
      </c>
      <c r="D45" s="23" t="s">
        <v>59</v>
      </c>
      <c r="E45" s="8" t="s">
        <v>39</v>
      </c>
      <c r="F45" s="188">
        <f>[1]AcreSummary!M15</f>
        <v>0.43359627842741211</v>
      </c>
      <c r="G45" s="25"/>
      <c r="H45" s="117"/>
      <c r="I45" s="57">
        <f>[1]Native!E13</f>
        <v>4.09</v>
      </c>
      <c r="J45" s="58">
        <f>[1]Native!F13</f>
        <v>4.2</v>
      </c>
      <c r="K45" s="80">
        <f>[1]Native!G13</f>
        <v>4.41</v>
      </c>
      <c r="L45" s="68">
        <f>[1]Native!H13</f>
        <v>4.37</v>
      </c>
      <c r="M45" s="58">
        <f>[1]Native!I13</f>
        <v>4.42</v>
      </c>
      <c r="N45" s="81">
        <f>[1]Native!J13</f>
        <v>4.33</v>
      </c>
      <c r="O45" s="62">
        <v>4.3099999999999996</v>
      </c>
      <c r="P45" s="81">
        <f>[1]Native!K13</f>
        <v>4.26</v>
      </c>
      <c r="Q45" s="82">
        <f>[1]Native!L13</f>
        <v>4.07</v>
      </c>
      <c r="R45" s="83">
        <v>4.07</v>
      </c>
      <c r="S45" s="84">
        <f>[1]Native!M13</f>
        <v>3.9</v>
      </c>
      <c r="T45" s="66">
        <f>[1]Native!N13</f>
        <v>3.69</v>
      </c>
      <c r="U45" s="67">
        <f>[1]Native!O13</f>
        <v>3.45</v>
      </c>
      <c r="V45" s="68">
        <f>[1]Native!P13</f>
        <v>-1.23</v>
      </c>
      <c r="W45" s="68">
        <f>[1]Native!Q13</f>
        <v>-1.59</v>
      </c>
      <c r="X45" s="68">
        <v>-1.39</v>
      </c>
      <c r="Y45" s="68">
        <v>-1.23</v>
      </c>
      <c r="Z45" s="68">
        <v>-0.28999999999999998</v>
      </c>
      <c r="AA45" s="68">
        <v>1.25</v>
      </c>
      <c r="AB45" s="68">
        <v>2.85</v>
      </c>
      <c r="AC45" s="68">
        <v>4.5</v>
      </c>
      <c r="AD45" s="68">
        <v>5.41</v>
      </c>
      <c r="AE45" s="68">
        <v>5.75</v>
      </c>
      <c r="AF45" s="68">
        <v>5.51</v>
      </c>
      <c r="AG45" s="69">
        <v>5.29</v>
      </c>
      <c r="AH45" s="70">
        <v>4.8899999999999997</v>
      </c>
      <c r="AI45" s="70">
        <v>4.25</v>
      </c>
      <c r="AJ45" s="70">
        <v>3.84</v>
      </c>
      <c r="AK45" s="8">
        <f t="shared" si="2"/>
        <v>28</v>
      </c>
      <c r="AL45" s="8">
        <f t="shared" si="3"/>
        <v>30</v>
      </c>
      <c r="AM45" s="85">
        <f t="shared" si="4"/>
        <v>29</v>
      </c>
      <c r="AN45" s="23">
        <f t="shared" si="5"/>
        <v>30</v>
      </c>
      <c r="AO45" s="85">
        <f t="shared" si="6"/>
        <v>31</v>
      </c>
      <c r="AP45" s="72">
        <f t="shared" si="7"/>
        <v>30</v>
      </c>
      <c r="AQ45" s="71">
        <f t="shared" si="11"/>
        <v>29</v>
      </c>
      <c r="AR45" s="71">
        <f t="shared" si="11"/>
        <v>29</v>
      </c>
      <c r="AS45" s="71">
        <f t="shared" si="14"/>
        <v>28</v>
      </c>
      <c r="AT45" s="71">
        <f t="shared" si="15"/>
        <v>26</v>
      </c>
      <c r="AU45" s="71">
        <f t="shared" si="12"/>
        <v>24</v>
      </c>
      <c r="AV45" s="122">
        <f>IF(ROUND(V45/VLOOKUP($C45,CapRate,12),0)&gt;10,V45/VLOOKUP($C45,CapRate,12),10)</f>
        <v>10</v>
      </c>
      <c r="AW45" s="122">
        <f>IF(ROUND(W45/VLOOKUP($C45,CapRate,13),0)&gt;10,W45/VLOOKUP($C45,CapRate,13),10)</f>
        <v>10</v>
      </c>
      <c r="AX45" s="122">
        <f>IF(ROUND(X45/VLOOKUP($C45,CapRate,14),0)&gt;10,X45/VLOOKUP($C45,CapRate,14),10)</f>
        <v>10</v>
      </c>
      <c r="AY45" s="122">
        <f>IF(ROUND(Y45/VLOOKUP($C45,CapRate,15),0)&gt;10,Y45/VLOOKUP($C45,CapRate,15),10)</f>
        <v>10</v>
      </c>
      <c r="AZ45" s="122">
        <f>IF(ROUND(Z45/VLOOKUP($C45,CapRate,16),0)&gt;10,Z45/VLOOKUP($C45,CapRate,16),10)</f>
        <v>10</v>
      </c>
      <c r="BA45" s="122">
        <f>IF(ROUND(AA45/VLOOKUP($C45,CapRate,17),0)&gt;10,AA45/VLOOKUP($C45,CapRate,17),10)</f>
        <v>10</v>
      </c>
      <c r="BB45" s="122">
        <f>IF(ROUND(AB45/VLOOKUP($C45,CapRate,18),0)&gt;10,AB45/VLOOKUP($C45,CapRate,18),10)</f>
        <v>19.614590502408809</v>
      </c>
      <c r="BC45" s="122">
        <f>IF(ROUND(AC45/VLOOKUP($C45,CapRate,19),0)&gt;10,AC45/VLOOKUP($C45,CapRate,19),10)</f>
        <v>30.97040605643496</v>
      </c>
      <c r="BD45" s="122">
        <f>IF(ROUND(AD45/VLOOKUP($C45,CapRate,20),0)&gt;10,AD45/VLOOKUP($C45,CapRate,20),10)</f>
        <v>37.182130584192443</v>
      </c>
      <c r="BE45" s="122">
        <f>IF(ROUND(AE45/VLOOKUP($C45,CapRate,21),0)&gt;10,AE45/VLOOKUP($C45,CapRate,21),10)</f>
        <v>39.491758241758241</v>
      </c>
      <c r="BF45" s="122">
        <f>IF(ROUND(AF45/VLOOKUP($C45,CapRate,22),0)&gt;10,AF45/VLOOKUP($C45,CapRate,22),10)</f>
        <v>37.765592871830016</v>
      </c>
      <c r="BG45" s="122">
        <f>IF(ROUND(AG45/VLOOKUP($C45,CapRate,23),0)&gt;10,AG45/VLOOKUP($C45,CapRate,23),10)</f>
        <v>36.133879781420767</v>
      </c>
      <c r="BH45" s="122">
        <f>IF(ROUND(AH45/VLOOKUP($C45,CapRate,24),0)&gt;10,AH45/VLOOKUP($C45,CapRate,24),10)</f>
        <v>33.310626702997268</v>
      </c>
      <c r="BI45" s="122">
        <f>IF(ROUND(AI45/VLOOKUP($C45,CapRate,25),0)&gt;10,AI45/VLOOKUP($C45,CapRate,25),10)</f>
        <v>28.891910265125762</v>
      </c>
      <c r="BJ45" s="122">
        <f>IF(ROUND(AJ45/VLOOKUP($C45,CapRate,26),0)&gt;10,AJ45/VLOOKUP($C45,CapRate,26),10)</f>
        <v>25.981055480378892</v>
      </c>
      <c r="BK45" s="87">
        <f t="shared" si="13"/>
        <v>-0.1007498209026505</v>
      </c>
      <c r="BL45" s="76"/>
      <c r="BM45" s="77">
        <f>BK45</f>
        <v>-0.1007498209026505</v>
      </c>
      <c r="BN45" s="77"/>
      <c r="BO45" s="77"/>
      <c r="BP45" s="88"/>
    </row>
    <row r="46" spans="1:70" ht="15.9" customHeight="1">
      <c r="A46" s="54">
        <v>20</v>
      </c>
      <c r="B46" s="22"/>
      <c r="C46" s="8" t="s">
        <v>59</v>
      </c>
      <c r="D46" s="23"/>
      <c r="E46" s="8" t="s">
        <v>40</v>
      </c>
      <c r="F46" s="188">
        <f>[1]AcreSummary!J15</f>
        <v>0.55320547490988248</v>
      </c>
      <c r="G46" s="25"/>
      <c r="H46" s="117"/>
      <c r="I46" s="57">
        <f>[1]Dry!E15</f>
        <v>12.43</v>
      </c>
      <c r="J46" s="58">
        <f>[1]Dry!F15</f>
        <v>12.18</v>
      </c>
      <c r="K46" s="80">
        <f>[1]Dry!G15</f>
        <v>12.38</v>
      </c>
      <c r="L46" s="68">
        <f>[1]Dry!H15</f>
        <v>12.65</v>
      </c>
      <c r="M46" s="58">
        <f>[1]Dry!I15</f>
        <v>12.78</v>
      </c>
      <c r="N46" s="81">
        <f>[1]Dry!J15</f>
        <v>13.01</v>
      </c>
      <c r="O46" s="62">
        <v>12.96</v>
      </c>
      <c r="P46" s="81">
        <f>[1]Dry!K15</f>
        <v>12.66</v>
      </c>
      <c r="Q46" s="82">
        <f>[1]Dry!L15</f>
        <v>12.33</v>
      </c>
      <c r="R46" s="83">
        <f>Q46*0.95</f>
        <v>11.7135</v>
      </c>
      <c r="S46" s="84">
        <f>[1]Dry!N15</f>
        <v>11.51</v>
      </c>
      <c r="T46" s="66">
        <f>[1]Dry!O15</f>
        <v>10.56</v>
      </c>
      <c r="U46" s="67">
        <f>[1]Dry!P15</f>
        <v>9.34</v>
      </c>
      <c r="V46" s="68">
        <f>[1]Dry!Q15</f>
        <v>6.28</v>
      </c>
      <c r="W46" s="68">
        <f>[1]Dry!R15</f>
        <v>7.63</v>
      </c>
      <c r="X46" s="68">
        <f>[1]Dry!S15</f>
        <v>10.32</v>
      </c>
      <c r="Y46" s="68">
        <f>[1]Dry!T15</f>
        <v>14.14</v>
      </c>
      <c r="Z46" s="68">
        <v>17.739999999999998</v>
      </c>
      <c r="AA46" s="68">
        <v>21.95</v>
      </c>
      <c r="AB46" s="68">
        <v>25.73</v>
      </c>
      <c r="AC46" s="68">
        <v>28.67</v>
      </c>
      <c r="AD46" s="68">
        <v>30.24</v>
      </c>
      <c r="AE46" s="68">
        <v>30.86</v>
      </c>
      <c r="AF46" s="68">
        <v>30.64</v>
      </c>
      <c r="AG46" s="69">
        <v>29.41</v>
      </c>
      <c r="AH46" s="70">
        <v>27.35</v>
      </c>
      <c r="AI46" s="70">
        <v>22.62</v>
      </c>
      <c r="AJ46" s="70">
        <v>18.600000000000001</v>
      </c>
      <c r="AK46" s="8">
        <f t="shared" si="2"/>
        <v>82</v>
      </c>
      <c r="AL46" s="8">
        <f t="shared" si="3"/>
        <v>83</v>
      </c>
      <c r="AM46" s="85">
        <f t="shared" si="4"/>
        <v>84</v>
      </c>
      <c r="AN46" s="23">
        <f t="shared" si="5"/>
        <v>87</v>
      </c>
      <c r="AO46" s="85">
        <f t="shared" si="6"/>
        <v>92</v>
      </c>
      <c r="AP46" s="72">
        <f t="shared" si="7"/>
        <v>91</v>
      </c>
      <c r="AQ46" s="71">
        <f t="shared" si="11"/>
        <v>88</v>
      </c>
      <c r="AR46" s="71">
        <f t="shared" si="11"/>
        <v>83</v>
      </c>
      <c r="AS46" s="71">
        <f t="shared" si="14"/>
        <v>82</v>
      </c>
      <c r="AT46" s="71">
        <f t="shared" si="15"/>
        <v>75</v>
      </c>
      <c r="AU46" s="71">
        <f t="shared" si="12"/>
        <v>66</v>
      </c>
      <c r="AV46" s="72">
        <f t="shared" si="16"/>
        <v>43</v>
      </c>
      <c r="AW46" s="72">
        <f>ROUND(W46/VLOOKUP($C46,CapRate,13),0)</f>
        <v>52</v>
      </c>
      <c r="AX46" s="72">
        <f>ROUND(X46/VLOOKUP($C46,CapRate,14),0)</f>
        <v>71</v>
      </c>
      <c r="AY46" s="72">
        <f>ROUND(Y46/VLOOKUP($C46,CapRate,15),0)</f>
        <v>97</v>
      </c>
      <c r="AZ46" s="72">
        <f>ROUND(Z46/VLOOKUP($C46,CapRate,16),0)</f>
        <v>122</v>
      </c>
      <c r="BA46" s="72">
        <f>ROUND(AA46/VLOOKUP($C46,CapRate,17),0)</f>
        <v>151</v>
      </c>
      <c r="BB46" s="72">
        <f>ROUND(AB46/VLOOKUP($C46,CapRate,18),0)</f>
        <v>177</v>
      </c>
      <c r="BC46" s="72">
        <f>ROUND(AC46/VLOOKUP($C46,CapRate,19),0)</f>
        <v>197</v>
      </c>
      <c r="BD46" s="72">
        <f>ROUND(AD46/VLOOKUP($C46,CapRate,20),0)</f>
        <v>208</v>
      </c>
      <c r="BE46" s="72">
        <f>ROUND(AE46/VLOOKUP($C46,CapRate,21),0)</f>
        <v>212</v>
      </c>
      <c r="BF46" s="72">
        <f>ROUND(AF46/VLOOKUP($C46,CapRate,22),0)</f>
        <v>210</v>
      </c>
      <c r="BG46" s="72">
        <f>ROUND(AG46/VLOOKUP($C46,CapRate,23),0)</f>
        <v>201</v>
      </c>
      <c r="BH46" s="72">
        <f>ROUND(AH46/VLOOKUP($C46,CapRate,24),0)</f>
        <v>186</v>
      </c>
      <c r="BI46" s="72">
        <f>ROUND(AI46/VLOOKUP($C46,CapRate,25),0)</f>
        <v>154</v>
      </c>
      <c r="BJ46" s="72">
        <f>ROUND(AJ46/VLOOKUP($C46,CapRate,26),0)</f>
        <v>126</v>
      </c>
      <c r="BK46" s="87">
        <f t="shared" si="13"/>
        <v>-0.18181818181818177</v>
      </c>
      <c r="BL46" s="76"/>
      <c r="BM46" s="77"/>
      <c r="BN46" s="77">
        <f>BK46</f>
        <v>-0.18181818181818177</v>
      </c>
      <c r="BO46" s="77"/>
      <c r="BP46" s="88"/>
    </row>
    <row r="47" spans="1:70" ht="15.9" customHeight="1" thickBot="1">
      <c r="A47" s="89">
        <v>20</v>
      </c>
      <c r="B47" s="22"/>
      <c r="C47" s="90" t="s">
        <v>59</v>
      </c>
      <c r="D47" s="91"/>
      <c r="E47" s="90" t="s">
        <v>41</v>
      </c>
      <c r="F47" s="190">
        <f>[1]AcreSummary!K15</f>
        <v>1.3198246662705422E-2</v>
      </c>
      <c r="G47" s="191">
        <f>[1]Irrigated!D15</f>
        <v>200</v>
      </c>
      <c r="H47" s="94">
        <f>[1]Irrigated!E15</f>
        <v>0.76</v>
      </c>
      <c r="I47" s="95"/>
      <c r="J47" s="96">
        <f>[1]Irrigated!H15</f>
        <v>21.1</v>
      </c>
      <c r="K47" s="97">
        <f>[1]Irrigated!I15</f>
        <v>23.06</v>
      </c>
      <c r="L47" s="98">
        <f>[1]Irrigated!J15</f>
        <v>24.6</v>
      </c>
      <c r="M47" s="96">
        <f>[1]Irrigated!K15</f>
        <v>27.11</v>
      </c>
      <c r="N47" s="99">
        <f>[1]Irrigated!L15</f>
        <v>28.77</v>
      </c>
      <c r="O47" s="100">
        <v>25.92</v>
      </c>
      <c r="P47" s="99">
        <f>[1]Irrigated!M15</f>
        <v>28.53</v>
      </c>
      <c r="Q47" s="101">
        <f>[1]Irrigated!N15</f>
        <v>26.95</v>
      </c>
      <c r="R47" s="102">
        <v>26.95</v>
      </c>
      <c r="S47" s="103">
        <f>[1]Irrigated!O15</f>
        <v>25.03</v>
      </c>
      <c r="T47" s="104">
        <f>[1]Irrigated!P15</f>
        <v>24.29</v>
      </c>
      <c r="U47" s="105">
        <f>[1]Irrigated!Q15</f>
        <v>21.98</v>
      </c>
      <c r="V47" s="98">
        <f>[1]Irrigated!R15</f>
        <v>9.91</v>
      </c>
      <c r="W47" s="98">
        <f>[1]Irrigated!S15</f>
        <v>14.71</v>
      </c>
      <c r="X47" s="98">
        <v>21.29</v>
      </c>
      <c r="Y47" s="98">
        <v>31.08</v>
      </c>
      <c r="Z47" s="98">
        <v>41.63</v>
      </c>
      <c r="AA47" s="98">
        <v>52.79</v>
      </c>
      <c r="AB47" s="98">
        <v>65.28</v>
      </c>
      <c r="AC47" s="98">
        <v>75.37</v>
      </c>
      <c r="AD47" s="98">
        <v>81.37</v>
      </c>
      <c r="AE47" s="98">
        <v>83.23</v>
      </c>
      <c r="AF47" s="98">
        <v>81.3</v>
      </c>
      <c r="AG47" s="106">
        <v>79.099999999999994</v>
      </c>
      <c r="AH47" s="107">
        <v>72.709999999999994</v>
      </c>
      <c r="AI47" s="107">
        <v>62.93</v>
      </c>
      <c r="AJ47" s="107">
        <v>58</v>
      </c>
      <c r="AK47" s="90">
        <f t="shared" si="2"/>
        <v>142</v>
      </c>
      <c r="AL47" s="90">
        <f t="shared" si="3"/>
        <v>155</v>
      </c>
      <c r="AM47" s="108">
        <f t="shared" si="4"/>
        <v>163</v>
      </c>
      <c r="AN47" s="91">
        <f t="shared" si="5"/>
        <v>184</v>
      </c>
      <c r="AO47" s="108">
        <f t="shared" si="6"/>
        <v>184</v>
      </c>
      <c r="AP47" s="109">
        <f t="shared" si="7"/>
        <v>204</v>
      </c>
      <c r="AQ47" s="110">
        <f t="shared" si="11"/>
        <v>192</v>
      </c>
      <c r="AR47" s="110">
        <f t="shared" si="11"/>
        <v>192</v>
      </c>
      <c r="AS47" s="110">
        <f t="shared" si="14"/>
        <v>178</v>
      </c>
      <c r="AT47" s="110">
        <f t="shared" si="15"/>
        <v>172</v>
      </c>
      <c r="AU47" s="110">
        <f t="shared" si="12"/>
        <v>155</v>
      </c>
      <c r="AV47" s="109">
        <f t="shared" si="16"/>
        <v>68</v>
      </c>
      <c r="AW47" s="109">
        <f>ROUND(W47/VLOOKUP($C47,CapRate,13),0)</f>
        <v>101</v>
      </c>
      <c r="AX47" s="109">
        <f>ROUND(X47/VLOOKUP($C47,CapRate,14),0)</f>
        <v>146</v>
      </c>
      <c r="AY47" s="109">
        <f>ROUND(Y47/VLOOKUP($C47,CapRate,15),0)</f>
        <v>214</v>
      </c>
      <c r="AZ47" s="109">
        <f>ROUND(Z47/VLOOKUP($C47,CapRate,16),0)</f>
        <v>287</v>
      </c>
      <c r="BA47" s="109">
        <f>ROUND(AA47/VLOOKUP($C47,CapRate,17),0)</f>
        <v>363</v>
      </c>
      <c r="BB47" s="109">
        <f>ROUND(AB47/VLOOKUP($C47,CapRate,18),0)</f>
        <v>449</v>
      </c>
      <c r="BC47" s="109">
        <f>ROUND(AC47/VLOOKUP($C47,CapRate,19),0)</f>
        <v>519</v>
      </c>
      <c r="BD47" s="109">
        <f>ROUND(AD47/VLOOKUP($C47,CapRate,20),0)</f>
        <v>559</v>
      </c>
      <c r="BE47" s="109">
        <f>ROUND(AE47/VLOOKUP($C47,CapRate,21),0)</f>
        <v>572</v>
      </c>
      <c r="BF47" s="109">
        <f>ROUND(AF47/VLOOKUP($C47,CapRate,22),0)</f>
        <v>557</v>
      </c>
      <c r="BG47" s="109">
        <f>ROUND(AG47/VLOOKUP($C47,CapRate,23),0)</f>
        <v>540</v>
      </c>
      <c r="BH47" s="109">
        <f>ROUND(AH47/VLOOKUP($C47,CapRate,24),0)</f>
        <v>495</v>
      </c>
      <c r="BI47" s="109">
        <f>ROUND(AI47/VLOOKUP($C47,CapRate,25),0)</f>
        <v>428</v>
      </c>
      <c r="BJ47" s="109">
        <f>ROUND(AJ47/VLOOKUP($C47,CapRate,26),0)</f>
        <v>392</v>
      </c>
      <c r="BK47" s="193">
        <f t="shared" si="13"/>
        <v>-8.411214953271029E-2</v>
      </c>
      <c r="BL47" s="114">
        <f>((F45*BK45)+(F46*BK46)+(F47*BK47))</f>
        <v>-0.14537769391245922</v>
      </c>
      <c r="BM47" s="115"/>
      <c r="BN47" s="115"/>
      <c r="BO47" s="115">
        <f>BK47</f>
        <v>-8.411214953271029E-2</v>
      </c>
      <c r="BP47" s="116"/>
    </row>
    <row r="48" spans="1:70" ht="15.9" customHeight="1" thickTop="1">
      <c r="A48" s="54">
        <v>20</v>
      </c>
      <c r="B48" s="22"/>
      <c r="C48" s="8" t="s">
        <v>60</v>
      </c>
      <c r="D48" s="23" t="s">
        <v>60</v>
      </c>
      <c r="E48" s="8" t="s">
        <v>39</v>
      </c>
      <c r="F48" s="188">
        <f>[1]AcreSummary!M16</f>
        <v>0.38946618699454033</v>
      </c>
      <c r="G48" s="25"/>
      <c r="H48" s="117"/>
      <c r="I48" s="57">
        <f>[1]Native!E14</f>
        <v>5.5</v>
      </c>
      <c r="J48" s="58">
        <f>[1]Native!F14</f>
        <v>5.64</v>
      </c>
      <c r="K48" s="80">
        <f>[1]Native!G14</f>
        <v>5.9</v>
      </c>
      <c r="L48" s="68">
        <f>[1]Native!H14</f>
        <v>5.91</v>
      </c>
      <c r="M48" s="58">
        <f>[1]Native!I14</f>
        <v>6.01</v>
      </c>
      <c r="N48" s="81">
        <f>[1]Native!J14</f>
        <v>5.98</v>
      </c>
      <c r="O48" s="62">
        <v>6.02</v>
      </c>
      <c r="P48" s="81">
        <f>[1]Native!K14</f>
        <v>5.93</v>
      </c>
      <c r="Q48" s="82">
        <f>[1]Native!L14</f>
        <v>5.74</v>
      </c>
      <c r="R48" s="83">
        <v>5.74</v>
      </c>
      <c r="S48" s="84">
        <f>[1]Native!M14</f>
        <v>5.58</v>
      </c>
      <c r="T48" s="66">
        <f>[1]Native!N14</f>
        <v>5.39</v>
      </c>
      <c r="U48" s="67">
        <f>[1]Native!O14</f>
        <v>5.16</v>
      </c>
      <c r="V48" s="68">
        <f>[1]Native!P14</f>
        <v>0.88</v>
      </c>
      <c r="W48" s="68">
        <f>[1]Native!Q14</f>
        <v>0.66</v>
      </c>
      <c r="X48" s="68">
        <v>1</v>
      </c>
      <c r="Y48" s="68">
        <v>1.31</v>
      </c>
      <c r="Z48" s="68">
        <v>2.44</v>
      </c>
      <c r="AA48" s="68">
        <v>4.0999999999999996</v>
      </c>
      <c r="AB48" s="68">
        <v>5.82</v>
      </c>
      <c r="AC48" s="68">
        <v>7.52</v>
      </c>
      <c r="AD48" s="68">
        <v>8.44</v>
      </c>
      <c r="AE48" s="68">
        <v>8.7899999999999991</v>
      </c>
      <c r="AF48" s="68">
        <v>8.59</v>
      </c>
      <c r="AG48" s="69">
        <v>8.44</v>
      </c>
      <c r="AH48" s="70">
        <v>8.09</v>
      </c>
      <c r="AI48" s="70">
        <v>7.52</v>
      </c>
      <c r="AJ48" s="70">
        <v>7.19</v>
      </c>
      <c r="AK48" s="8">
        <f t="shared" si="2"/>
        <v>37</v>
      </c>
      <c r="AL48" s="8">
        <f t="shared" si="3"/>
        <v>39</v>
      </c>
      <c r="AM48" s="85">
        <f t="shared" si="4"/>
        <v>39</v>
      </c>
      <c r="AN48" s="23">
        <f t="shared" si="5"/>
        <v>40</v>
      </c>
      <c r="AO48" s="85">
        <f t="shared" si="6"/>
        <v>41</v>
      </c>
      <c r="AP48" s="72">
        <f t="shared" si="7"/>
        <v>41</v>
      </c>
      <c r="AQ48" s="71">
        <f t="shared" si="11"/>
        <v>39</v>
      </c>
      <c r="AR48" s="71">
        <f t="shared" si="11"/>
        <v>39</v>
      </c>
      <c r="AS48" s="71">
        <f t="shared" si="14"/>
        <v>38</v>
      </c>
      <c r="AT48" s="71">
        <f t="shared" si="15"/>
        <v>37</v>
      </c>
      <c r="AU48" s="71">
        <f t="shared" si="12"/>
        <v>35</v>
      </c>
      <c r="AV48" s="122">
        <f>IF(ROUND(V48/VLOOKUP($C48,CapRate,12),0)&gt;10,V48/VLOOKUP($C48,CapRate,12),10)</f>
        <v>10</v>
      </c>
      <c r="AW48" s="122">
        <f>IF(ROUND(W48/VLOOKUP($C48,CapRate,13),0)&gt;10,W48/VLOOKUP($C48,CapRate,13),10)</f>
        <v>10</v>
      </c>
      <c r="AX48" s="122">
        <f>IF(ROUND(X48/VLOOKUP($C48,CapRate,14),0)&gt;10,X48/VLOOKUP($C48,CapRate,14),10)</f>
        <v>10</v>
      </c>
      <c r="AY48" s="122">
        <f>IF(ROUND(Y48/VLOOKUP($C48,CapRate,15),0)&gt;10,Y48/VLOOKUP($C48,CapRate,15),10)</f>
        <v>10</v>
      </c>
      <c r="AZ48" s="122">
        <f>IF(ROUND(Z48/VLOOKUP($C48,CapRate,16),0)&gt;10,Z48/VLOOKUP($C48,CapRate,16),10)</f>
        <v>16.666666666666664</v>
      </c>
      <c r="BA48" s="122">
        <f>IF(ROUND(AA48/VLOOKUP($C48,CapRate,17),0)&gt;10,AA48/VLOOKUP($C48,CapRate,17),10)</f>
        <v>27.948193592365371</v>
      </c>
      <c r="BB48" s="122">
        <f>IF(ROUND(AB48/VLOOKUP($C48,CapRate,18),0)&gt;10,AB48/VLOOKUP($C48,CapRate,18),10)</f>
        <v>39.538043478260875</v>
      </c>
      <c r="BC48" s="122">
        <f>IF(ROUND(AC48/VLOOKUP($C48,CapRate,19),0)&gt;10,AC48/VLOOKUP($C48,CapRate,19),10)</f>
        <v>50.639730639730637</v>
      </c>
      <c r="BD48" s="122">
        <f>IF(ROUND(AD48/VLOOKUP($C48,CapRate,20),0)&gt;10,AD48/VLOOKUP($C48,CapRate,20),10)</f>
        <v>56.682337139019474</v>
      </c>
      <c r="BE48" s="122">
        <f>IF(ROUND(AE48/VLOOKUP($C48,CapRate,21),0)&gt;10,AE48/VLOOKUP($C48,CapRate,21),10)</f>
        <v>58.756684491978596</v>
      </c>
      <c r="BF48" s="122">
        <f>IF(ROUND(AF48/VLOOKUP($C48,CapRate,22),0)&gt;10,AF48/VLOOKUP($C48,CapRate,22),10)</f>
        <v>57.11436170212766</v>
      </c>
      <c r="BG48" s="122">
        <f>IF(ROUND(AG48/VLOOKUP($C48,CapRate,23),0)&gt;10,AG48/VLOOKUP($C48,CapRate,23),10)</f>
        <v>55.672823218997351</v>
      </c>
      <c r="BH48" s="122">
        <f>IF(ROUND(AH48/VLOOKUP($C48,CapRate,24),0)&gt;10,AH48/VLOOKUP($C48,CapRate,24),10)</f>
        <v>52.945026178010473</v>
      </c>
      <c r="BI48" s="122">
        <f>IF(ROUND(AI48/VLOOKUP($C48,CapRate,25),0)&gt;10,AI48/VLOOKUP($C48,CapRate,25),10)</f>
        <v>48.894668400520153</v>
      </c>
      <c r="BJ48" s="122">
        <f>IF(ROUND(AJ48/VLOOKUP($C48,CapRate,26),0)&gt;10,AJ48/VLOOKUP($C48,CapRate,26),10)</f>
        <v>46.718648473034435</v>
      </c>
      <c r="BK48" s="75">
        <f t="shared" si="13"/>
        <v>-4.4504237346715936E-2</v>
      </c>
      <c r="BL48" s="76"/>
      <c r="BM48" s="77">
        <f>BK48</f>
        <v>-4.4504237346715936E-2</v>
      </c>
      <c r="BN48" s="77"/>
      <c r="BO48" s="77"/>
      <c r="BP48" s="88"/>
    </row>
    <row r="49" spans="1:69" ht="15.9" customHeight="1">
      <c r="A49" s="54">
        <v>20</v>
      </c>
      <c r="B49" s="22"/>
      <c r="C49" s="8" t="s">
        <v>60</v>
      </c>
      <c r="D49" s="23"/>
      <c r="E49" s="8" t="s">
        <v>40</v>
      </c>
      <c r="F49" s="188">
        <f>[1]AcreSummary!J16</f>
        <v>0.60395505513109982</v>
      </c>
      <c r="G49" s="25"/>
      <c r="H49" s="117"/>
      <c r="I49" s="57">
        <f>[1]Dry!E16</f>
        <v>12.52</v>
      </c>
      <c r="J49" s="58">
        <f>[1]Dry!F16</f>
        <v>12.44</v>
      </c>
      <c r="K49" s="80">
        <f>[1]Dry!G16</f>
        <v>12.6</v>
      </c>
      <c r="L49" s="68">
        <f>[1]Dry!H16</f>
        <v>12.97</v>
      </c>
      <c r="M49" s="58">
        <f>[1]Dry!I16</f>
        <v>13.14</v>
      </c>
      <c r="N49" s="81">
        <f>[1]Dry!J16</f>
        <v>13.27</v>
      </c>
      <c r="O49" s="62">
        <v>13.27</v>
      </c>
      <c r="P49" s="81">
        <f>[1]Dry!K16</f>
        <v>13</v>
      </c>
      <c r="Q49" s="82">
        <f>[1]Dry!L16</f>
        <v>12.73</v>
      </c>
      <c r="R49" s="83">
        <f>Q49*0.95</f>
        <v>12.093500000000001</v>
      </c>
      <c r="S49" s="84">
        <f>[1]Dry!N16</f>
        <v>11.87</v>
      </c>
      <c r="T49" s="66">
        <f>[1]Dry!O16</f>
        <v>10.99</v>
      </c>
      <c r="U49" s="67">
        <f>[1]Dry!P16</f>
        <v>9.9</v>
      </c>
      <c r="V49" s="68">
        <f>[1]Dry!Q16</f>
        <v>7.66</v>
      </c>
      <c r="W49" s="68">
        <f>[1]Dry!R16</f>
        <v>9.02</v>
      </c>
      <c r="X49" s="68">
        <f>[1]Dry!S16</f>
        <v>10.89</v>
      </c>
      <c r="Y49" s="68">
        <f>[1]Dry!T16</f>
        <v>13.53</v>
      </c>
      <c r="Z49" s="68">
        <v>16.170000000000002</v>
      </c>
      <c r="AA49" s="68">
        <v>19.13</v>
      </c>
      <c r="AB49" s="68">
        <v>21.73</v>
      </c>
      <c r="AC49" s="68">
        <v>23.14</v>
      </c>
      <c r="AD49" s="68">
        <v>23.55</v>
      </c>
      <c r="AE49" s="68">
        <v>23.52</v>
      </c>
      <c r="AF49" s="68">
        <v>23.82</v>
      </c>
      <c r="AG49" s="69">
        <v>23.3</v>
      </c>
      <c r="AH49" s="70">
        <v>21.71</v>
      </c>
      <c r="AI49" s="70">
        <v>18.059999999999999</v>
      </c>
      <c r="AJ49" s="70">
        <v>15.17</v>
      </c>
      <c r="AK49" s="8">
        <f t="shared" si="2"/>
        <v>82</v>
      </c>
      <c r="AL49" s="8">
        <f t="shared" si="3"/>
        <v>83</v>
      </c>
      <c r="AM49" s="85">
        <f t="shared" si="4"/>
        <v>85</v>
      </c>
      <c r="AN49" s="23">
        <f t="shared" si="5"/>
        <v>87</v>
      </c>
      <c r="AO49" s="85">
        <f t="shared" si="6"/>
        <v>91</v>
      </c>
      <c r="AP49" s="72">
        <f t="shared" si="7"/>
        <v>90</v>
      </c>
      <c r="AQ49" s="71">
        <f t="shared" si="11"/>
        <v>88</v>
      </c>
      <c r="AR49" s="71">
        <f t="shared" si="11"/>
        <v>83</v>
      </c>
      <c r="AS49" s="71">
        <f t="shared" si="14"/>
        <v>82</v>
      </c>
      <c r="AT49" s="71">
        <f t="shared" si="15"/>
        <v>75</v>
      </c>
      <c r="AU49" s="71">
        <f t="shared" si="12"/>
        <v>68</v>
      </c>
      <c r="AV49" s="72">
        <f t="shared" si="16"/>
        <v>52</v>
      </c>
      <c r="AW49" s="72">
        <f>ROUND(W49/VLOOKUP($C49,CapRate,13),0)</f>
        <v>62</v>
      </c>
      <c r="AX49" s="72">
        <f>ROUND(X49/VLOOKUP($C49,CapRate,14),0)</f>
        <v>74</v>
      </c>
      <c r="AY49" s="72">
        <f>ROUND(Y49/VLOOKUP($C49,CapRate,15),0)</f>
        <v>92</v>
      </c>
      <c r="AZ49" s="72">
        <f>ROUND(Z49/VLOOKUP($C49,CapRate,16),0)</f>
        <v>110</v>
      </c>
      <c r="BA49" s="72">
        <f>ROUND(AA49/VLOOKUP($C49,CapRate,17),0)</f>
        <v>130</v>
      </c>
      <c r="BB49" s="72">
        <f>ROUND(AB49/VLOOKUP($C49,CapRate,18),0)</f>
        <v>148</v>
      </c>
      <c r="BC49" s="72">
        <f>ROUND(AC49/VLOOKUP($C49,CapRate,19),0)</f>
        <v>156</v>
      </c>
      <c r="BD49" s="72">
        <f>ROUND(AD49/VLOOKUP($C49,CapRate,20),0)</f>
        <v>158</v>
      </c>
      <c r="BE49" s="72">
        <f>ROUND(AE49/VLOOKUP($C49,CapRate,21),0)</f>
        <v>157</v>
      </c>
      <c r="BF49" s="72">
        <f>ROUND(AF49/VLOOKUP($C49,CapRate,22),0)</f>
        <v>158</v>
      </c>
      <c r="BG49" s="72">
        <f>ROUND(AG49/VLOOKUP($C49,CapRate,23),0)</f>
        <v>154</v>
      </c>
      <c r="BH49" s="72">
        <f>ROUND(AH49/VLOOKUP($C49,CapRate,24),0)</f>
        <v>142</v>
      </c>
      <c r="BI49" s="72">
        <f>ROUND(AI49/VLOOKUP($C49,CapRate,25),0)</f>
        <v>117</v>
      </c>
      <c r="BJ49" s="72">
        <f>ROUND(AJ49/VLOOKUP($C49,CapRate,26),0)</f>
        <v>99</v>
      </c>
      <c r="BK49" s="87">
        <f t="shared" si="13"/>
        <v>-0.15384615384615385</v>
      </c>
      <c r="BL49" s="76"/>
      <c r="BM49" s="77"/>
      <c r="BN49" s="77">
        <f>BK49</f>
        <v>-0.15384615384615385</v>
      </c>
      <c r="BO49" s="77"/>
      <c r="BP49" s="88"/>
    </row>
    <row r="50" spans="1:69" ht="15.9" customHeight="1" thickBot="1">
      <c r="A50" s="89">
        <v>20</v>
      </c>
      <c r="B50" s="22"/>
      <c r="C50" s="90" t="s">
        <v>60</v>
      </c>
      <c r="D50" s="91"/>
      <c r="E50" s="90" t="s">
        <v>41</v>
      </c>
      <c r="F50" s="190">
        <f>[1]AcreSummary!K16</f>
        <v>6.5787578743598816E-3</v>
      </c>
      <c r="G50" s="191">
        <f>[1]Irrigated!D16</f>
        <v>100</v>
      </c>
      <c r="H50" s="94">
        <f>[1]Irrigated!E16</f>
        <v>0.94</v>
      </c>
      <c r="I50" s="95"/>
      <c r="J50" s="96">
        <f>[1]Irrigated!H16</f>
        <v>28.57</v>
      </c>
      <c r="K50" s="97">
        <f>[1]Irrigated!I16</f>
        <v>32.11</v>
      </c>
      <c r="L50" s="98">
        <f>[1]Irrigated!J16</f>
        <v>35.51</v>
      </c>
      <c r="M50" s="96">
        <f>[1]Irrigated!K16</f>
        <v>40.08</v>
      </c>
      <c r="N50" s="99">
        <f>[1]Irrigated!L16</f>
        <v>43.7</v>
      </c>
      <c r="O50" s="100">
        <v>36.32</v>
      </c>
      <c r="P50" s="99">
        <f>[1]Irrigated!M16</f>
        <v>45.59</v>
      </c>
      <c r="Q50" s="101">
        <f>[1]Irrigated!N16</f>
        <v>44.3</v>
      </c>
      <c r="R50" s="102">
        <v>44.3</v>
      </c>
      <c r="S50" s="103">
        <f>[1]Irrigated!O16</f>
        <v>42.45</v>
      </c>
      <c r="T50" s="104">
        <f>[1]Irrigated!P16</f>
        <v>41.79</v>
      </c>
      <c r="U50" s="105">
        <f>[1]Irrigated!Q16</f>
        <v>38.090000000000003</v>
      </c>
      <c r="V50" s="98">
        <f>[1]Irrigated!R16</f>
        <v>21.06</v>
      </c>
      <c r="W50" s="98">
        <f>[1]Irrigated!S16</f>
        <v>25.7</v>
      </c>
      <c r="X50" s="98">
        <v>32.19</v>
      </c>
      <c r="Y50" s="98">
        <v>41.39</v>
      </c>
      <c r="Z50" s="98">
        <v>52.05</v>
      </c>
      <c r="AA50" s="98">
        <v>63.2</v>
      </c>
      <c r="AB50" s="98">
        <v>74.180000000000007</v>
      </c>
      <c r="AC50" s="98">
        <v>83.52</v>
      </c>
      <c r="AD50" s="98">
        <v>89.08</v>
      </c>
      <c r="AE50" s="98">
        <v>91.51</v>
      </c>
      <c r="AF50" s="98">
        <v>89.08</v>
      </c>
      <c r="AG50" s="106">
        <v>87.23</v>
      </c>
      <c r="AH50" s="107">
        <v>81.16</v>
      </c>
      <c r="AI50" s="107">
        <v>71.78</v>
      </c>
      <c r="AJ50" s="107">
        <v>67.11</v>
      </c>
      <c r="AK50" s="90">
        <f t="shared" si="2"/>
        <v>189</v>
      </c>
      <c r="AL50" s="90">
        <f t="shared" si="3"/>
        <v>212</v>
      </c>
      <c r="AM50" s="108">
        <f t="shared" si="4"/>
        <v>232</v>
      </c>
      <c r="AN50" s="91">
        <f t="shared" si="5"/>
        <v>266</v>
      </c>
      <c r="AO50" s="108">
        <f t="shared" si="6"/>
        <v>249</v>
      </c>
      <c r="AP50" s="109">
        <f t="shared" si="7"/>
        <v>315</v>
      </c>
      <c r="AQ50" s="110">
        <f t="shared" si="11"/>
        <v>305</v>
      </c>
      <c r="AR50" s="110">
        <f t="shared" si="11"/>
        <v>305</v>
      </c>
      <c r="AS50" s="110">
        <f t="shared" si="14"/>
        <v>292</v>
      </c>
      <c r="AT50" s="110">
        <f t="shared" si="15"/>
        <v>287</v>
      </c>
      <c r="AU50" s="110">
        <f t="shared" si="12"/>
        <v>261</v>
      </c>
      <c r="AV50" s="109">
        <f t="shared" si="16"/>
        <v>144</v>
      </c>
      <c r="AW50" s="109">
        <f>ROUND(W50/VLOOKUP($C50,CapRate,13),0)</f>
        <v>176</v>
      </c>
      <c r="AX50" s="109">
        <f>ROUND(X50/VLOOKUP($C50,CapRate,14),0)</f>
        <v>220</v>
      </c>
      <c r="AY50" s="109">
        <f>ROUND(Y50/VLOOKUP($C50,CapRate,15),0)</f>
        <v>283</v>
      </c>
      <c r="AZ50" s="109">
        <f>ROUND(Z50/VLOOKUP($C50,CapRate,16),0)</f>
        <v>356</v>
      </c>
      <c r="BA50" s="109">
        <f>ROUND(AA50/VLOOKUP($C50,CapRate,17),0)</f>
        <v>431</v>
      </c>
      <c r="BB50" s="109">
        <f>ROUND(AB50/VLOOKUP($C50,CapRate,18),0)</f>
        <v>504</v>
      </c>
      <c r="BC50" s="109">
        <f>ROUND(AC50/VLOOKUP($C50,CapRate,19),0)</f>
        <v>562</v>
      </c>
      <c r="BD50" s="109">
        <f>ROUND(AD50/VLOOKUP($C50,CapRate,20),0)</f>
        <v>598</v>
      </c>
      <c r="BE50" s="109">
        <f>ROUND(AE50/VLOOKUP($C50,CapRate,21),0)</f>
        <v>612</v>
      </c>
      <c r="BF50" s="109">
        <f>ROUND(AF50/VLOOKUP($C50,CapRate,22),0)</f>
        <v>592</v>
      </c>
      <c r="BG50" s="109">
        <f>ROUND(AG50/VLOOKUP($C50,CapRate,23),0)</f>
        <v>575</v>
      </c>
      <c r="BH50" s="109">
        <f>ROUND(AH50/VLOOKUP($C50,CapRate,24),0)</f>
        <v>531</v>
      </c>
      <c r="BI50" s="109">
        <f>ROUND(AI50/VLOOKUP($C50,CapRate,25),0)</f>
        <v>467</v>
      </c>
      <c r="BJ50" s="109">
        <f>ROUND(AJ50/VLOOKUP($C50,CapRate,26),0)</f>
        <v>436</v>
      </c>
      <c r="BK50" s="113">
        <f t="shared" si="13"/>
        <v>-6.6381156316916434E-2</v>
      </c>
      <c r="BL50" s="114">
        <f>((F48*BK48)+(F49*BK49)+(F50*BK50))</f>
        <v>-0.11068576350721601</v>
      </c>
      <c r="BM50" s="115"/>
      <c r="BN50" s="115"/>
      <c r="BO50" s="115">
        <f>BK50</f>
        <v>-6.6381156316916434E-2</v>
      </c>
      <c r="BP50" s="116"/>
    </row>
    <row r="51" spans="1:69" ht="15.9" customHeight="1" thickTop="1">
      <c r="A51" s="54">
        <v>20</v>
      </c>
      <c r="B51" s="22"/>
      <c r="C51" s="8" t="s">
        <v>61</v>
      </c>
      <c r="D51" s="23" t="s">
        <v>61</v>
      </c>
      <c r="E51" s="8" t="s">
        <v>39</v>
      </c>
      <c r="F51" s="188">
        <f>[1]AcreSummary!M17</f>
        <v>0.13919220938196189</v>
      </c>
      <c r="G51" s="25"/>
      <c r="H51" s="117"/>
      <c r="I51" s="57">
        <f>[1]Native!E15</f>
        <v>4.01</v>
      </c>
      <c r="J51" s="58">
        <f>[1]Native!F15</f>
        <v>4.1100000000000003</v>
      </c>
      <c r="K51" s="80">
        <f>[1]Native!G15</f>
        <v>4.3099999999999996</v>
      </c>
      <c r="L51" s="68">
        <f>[1]Native!H15</f>
        <v>4.2699999999999996</v>
      </c>
      <c r="M51" s="58">
        <f>[1]Native!I15</f>
        <v>4.3099999999999996</v>
      </c>
      <c r="N51" s="81">
        <f>[1]Native!J15</f>
        <v>4.22</v>
      </c>
      <c r="O51" s="62">
        <v>4.17</v>
      </c>
      <c r="P51" s="81">
        <f>[1]Native!K15</f>
        <v>4.1399999999999997</v>
      </c>
      <c r="Q51" s="82">
        <f>[1]Native!L15</f>
        <v>3.94</v>
      </c>
      <c r="R51" s="83">
        <v>3.94</v>
      </c>
      <c r="S51" s="84">
        <f>[1]Native!M15</f>
        <v>3.77</v>
      </c>
      <c r="T51" s="66">
        <f>[1]Native!N15</f>
        <v>3.56</v>
      </c>
      <c r="U51" s="67">
        <f>[1]Native!O15</f>
        <v>3.31</v>
      </c>
      <c r="V51" s="68">
        <f>[1]Native!P15</f>
        <v>-1.35</v>
      </c>
      <c r="W51" s="68">
        <f>[1]Native!Q15</f>
        <v>-1.74</v>
      </c>
      <c r="X51" s="68">
        <v>-1.57</v>
      </c>
      <c r="Y51" s="68">
        <v>-1.42</v>
      </c>
      <c r="Z51" s="68">
        <v>-0.56999999999999995</v>
      </c>
      <c r="AA51" s="68">
        <v>0.99</v>
      </c>
      <c r="AB51" s="68">
        <v>2.61</v>
      </c>
      <c r="AC51" s="68">
        <v>4.29</v>
      </c>
      <c r="AD51" s="68">
        <v>5.18</v>
      </c>
      <c r="AE51" s="68">
        <v>5.52</v>
      </c>
      <c r="AF51" s="68">
        <v>5.36</v>
      </c>
      <c r="AG51" s="69">
        <v>5.14</v>
      </c>
      <c r="AH51" s="70">
        <v>4.9000000000000004</v>
      </c>
      <c r="AI51" s="70">
        <v>4.24</v>
      </c>
      <c r="AJ51" s="70">
        <v>3.82</v>
      </c>
      <c r="AK51" s="8">
        <f t="shared" si="2"/>
        <v>28</v>
      </c>
      <c r="AL51" s="8">
        <f t="shared" si="3"/>
        <v>30</v>
      </c>
      <c r="AM51" s="85">
        <f t="shared" si="4"/>
        <v>29</v>
      </c>
      <c r="AN51" s="23">
        <f t="shared" si="5"/>
        <v>30</v>
      </c>
      <c r="AO51" s="85">
        <f t="shared" si="6"/>
        <v>31</v>
      </c>
      <c r="AP51" s="72">
        <f t="shared" si="7"/>
        <v>31</v>
      </c>
      <c r="AQ51" s="71">
        <f t="shared" si="11"/>
        <v>29</v>
      </c>
      <c r="AR51" s="71">
        <f t="shared" si="11"/>
        <v>29</v>
      </c>
      <c r="AS51" s="71">
        <f t="shared" si="14"/>
        <v>28</v>
      </c>
      <c r="AT51" s="71">
        <f t="shared" si="15"/>
        <v>26</v>
      </c>
      <c r="AU51" s="71">
        <f t="shared" si="12"/>
        <v>24</v>
      </c>
      <c r="AV51" s="122">
        <f>IF(ROUND(V51/VLOOKUP($C51,CapRate,12),0)&gt;10,V51/VLOOKUP($C51,CapRate,12),10)</f>
        <v>10</v>
      </c>
      <c r="AW51" s="122">
        <f>IF(ROUND(W51/VLOOKUP($C51,CapRate,13),0)&gt;10,W51/VLOOKUP($C51,CapRate,13),10)</f>
        <v>10</v>
      </c>
      <c r="AX51" s="122">
        <f>IF(ROUND(X51/VLOOKUP($C51,CapRate,14),0)&gt;10,X51/VLOOKUP($C51,CapRate,14),10)</f>
        <v>10</v>
      </c>
      <c r="AY51" s="122">
        <f>IF(ROUND(Y51/VLOOKUP($C51,CapRate,15),0)&gt;10,Y51/VLOOKUP($C51,CapRate,15),10)</f>
        <v>10</v>
      </c>
      <c r="AZ51" s="122">
        <f>IF(ROUND(Z51/VLOOKUP($C51,CapRate,16),0)&gt;10,Z51/VLOOKUP($C51,CapRate,16),10)</f>
        <v>10</v>
      </c>
      <c r="BA51" s="122">
        <f>IF(ROUND(AA51/VLOOKUP($C51,CapRate,17),0)&gt;10,AA51/VLOOKUP($C51,CapRate,17),10)</f>
        <v>10</v>
      </c>
      <c r="BB51" s="122">
        <f>IF(ROUND(AB51/VLOOKUP($C51,CapRate,18),0)&gt;10,AB51/VLOOKUP($C51,CapRate,18),10)</f>
        <v>17.493297587131366</v>
      </c>
      <c r="BC51" s="122">
        <f>IF(ROUND(AC51/VLOOKUP($C51,CapRate,19),0)&gt;10,AC51/VLOOKUP($C51,CapRate,19),10)</f>
        <v>28.676470588235293</v>
      </c>
      <c r="BD51" s="122">
        <f>IF(ROUND(AD51/VLOOKUP($C51,CapRate,20),0)&gt;10,AD51/VLOOKUP($C51,CapRate,20),10)</f>
        <v>34.579439252336449</v>
      </c>
      <c r="BE51" s="122">
        <f>IF(ROUND(AE51/VLOOKUP($C51,CapRate,21),0)&gt;10,AE51/VLOOKUP($C51,CapRate,21),10)</f>
        <v>36.873747494989978</v>
      </c>
      <c r="BF51" s="122">
        <f>IF(ROUND(AF51/VLOOKUP($C51,CapRate,22),0)&gt;10,AF51/VLOOKUP($C51,CapRate,22),10)</f>
        <v>35.781041388518027</v>
      </c>
      <c r="BG51" s="122">
        <f>IF(ROUND(AG51/VLOOKUP($C51,CapRate,23),0)&gt;10,AG51/VLOOKUP($C51,CapRate,23),10)</f>
        <v>34.312416555407211</v>
      </c>
      <c r="BH51" s="122">
        <f>IF(ROUND(AH51/VLOOKUP($C51,CapRate,24),0)&gt;10,AH51/VLOOKUP($C51,CapRate,24),10)</f>
        <v>32.666666666666671</v>
      </c>
      <c r="BI51" s="122">
        <f>IF(ROUND(AI51/VLOOKUP($C51,CapRate,25),0)&gt;10,AI51/VLOOKUP($C51,CapRate,25),10)</f>
        <v>28.247834776815456</v>
      </c>
      <c r="BJ51" s="122">
        <f>IF(ROUND(AJ51/VLOOKUP($C51,CapRate,26),0)&gt;10,AJ51/VLOOKUP($C51,CapRate,26),10)</f>
        <v>25.432756324900133</v>
      </c>
      <c r="BK51" s="75">
        <f t="shared" si="13"/>
        <v>-9.9656432932191064E-2</v>
      </c>
      <c r="BL51" s="76"/>
      <c r="BM51" s="77">
        <f>BK51</f>
        <v>-9.9656432932191064E-2</v>
      </c>
      <c r="BN51" s="77"/>
      <c r="BO51" s="77"/>
      <c r="BP51" s="88"/>
    </row>
    <row r="52" spans="1:69" ht="15.9" customHeight="1">
      <c r="A52" s="54">
        <v>20</v>
      </c>
      <c r="B52" s="22"/>
      <c r="C52" s="8" t="s">
        <v>61</v>
      </c>
      <c r="D52" s="23"/>
      <c r="E52" s="8" t="s">
        <v>40</v>
      </c>
      <c r="F52" s="188">
        <f>[1]AcreSummary!J17</f>
        <v>0.76001716889842852</v>
      </c>
      <c r="G52" s="25"/>
      <c r="H52" s="117"/>
      <c r="I52" s="57">
        <f>[1]Dry!E17</f>
        <v>13.34</v>
      </c>
      <c r="J52" s="58">
        <f>[1]Dry!F17</f>
        <v>13.1</v>
      </c>
      <c r="K52" s="80">
        <f>[1]Dry!G17</f>
        <v>13.8</v>
      </c>
      <c r="L52" s="68">
        <f>[1]Dry!H17</f>
        <v>14.65</v>
      </c>
      <c r="M52" s="58">
        <f>[1]Dry!I17</f>
        <v>15.41</v>
      </c>
      <c r="N52" s="81">
        <f>[1]Dry!J17</f>
        <v>16.28</v>
      </c>
      <c r="O52" s="62">
        <v>16.25</v>
      </c>
      <c r="P52" s="81">
        <f>[1]Dry!K17</f>
        <v>16.38</v>
      </c>
      <c r="Q52" s="82">
        <f>[1]Dry!L17</f>
        <v>16.43</v>
      </c>
      <c r="R52" s="83">
        <f>Q52*0.95</f>
        <v>15.608499999999999</v>
      </c>
      <c r="S52" s="84">
        <f>[1]Dry!N17</f>
        <v>15.81</v>
      </c>
      <c r="T52" s="66">
        <f>[1]Dry!O17</f>
        <v>15.08</v>
      </c>
      <c r="U52" s="67">
        <f>[1]Dry!P17</f>
        <v>13.97</v>
      </c>
      <c r="V52" s="68">
        <f>[1]Dry!Q17</f>
        <v>10.28</v>
      </c>
      <c r="W52" s="68">
        <f>[1]Dry!R17</f>
        <v>11.49</v>
      </c>
      <c r="X52" s="68">
        <f>[1]Dry!S17</f>
        <v>13.99</v>
      </c>
      <c r="Y52" s="68">
        <f>[1]Dry!T17</f>
        <v>17.59</v>
      </c>
      <c r="Z52" s="68">
        <v>21.04</v>
      </c>
      <c r="AA52" s="68">
        <v>24.83</v>
      </c>
      <c r="AB52" s="68">
        <v>27.91</v>
      </c>
      <c r="AC52" s="68">
        <v>30.28</v>
      </c>
      <c r="AD52" s="68">
        <v>31.48</v>
      </c>
      <c r="AE52" s="68">
        <v>31.8</v>
      </c>
      <c r="AF52" s="68">
        <v>31.44</v>
      </c>
      <c r="AG52" s="69">
        <v>30.08</v>
      </c>
      <c r="AH52" s="70">
        <v>27.92</v>
      </c>
      <c r="AI52" s="70">
        <v>23.58</v>
      </c>
      <c r="AJ52" s="70">
        <v>20.3</v>
      </c>
      <c r="AK52" s="8">
        <f t="shared" si="2"/>
        <v>89</v>
      </c>
      <c r="AL52" s="8">
        <f t="shared" si="3"/>
        <v>95</v>
      </c>
      <c r="AM52" s="85">
        <f t="shared" si="4"/>
        <v>100</v>
      </c>
      <c r="AN52" s="23">
        <f t="shared" si="5"/>
        <v>108</v>
      </c>
      <c r="AO52" s="85">
        <f t="shared" si="6"/>
        <v>119</v>
      </c>
      <c r="AP52" s="72">
        <f t="shared" si="7"/>
        <v>121</v>
      </c>
      <c r="AQ52" s="71">
        <f t="shared" si="11"/>
        <v>121</v>
      </c>
      <c r="AR52" s="71">
        <f t="shared" si="11"/>
        <v>115</v>
      </c>
      <c r="AS52" s="71">
        <f t="shared" si="14"/>
        <v>115</v>
      </c>
      <c r="AT52" s="71">
        <f t="shared" si="15"/>
        <v>109</v>
      </c>
      <c r="AU52" s="71">
        <f t="shared" si="12"/>
        <v>101</v>
      </c>
      <c r="AV52" s="72">
        <f t="shared" si="16"/>
        <v>71</v>
      </c>
      <c r="AW52" s="72">
        <f>ROUND(W52/VLOOKUP($C52,CapRate,13),0)</f>
        <v>79</v>
      </c>
      <c r="AX52" s="72">
        <f>ROUND(X52/VLOOKUP($C52,CapRate,14),0)</f>
        <v>96</v>
      </c>
      <c r="AY52" s="72">
        <f>ROUND(Y52/VLOOKUP($C52,CapRate,15),0)</f>
        <v>119</v>
      </c>
      <c r="AZ52" s="72">
        <f>ROUND(Z52/VLOOKUP($C52,CapRate,16),0)</f>
        <v>143</v>
      </c>
      <c r="BA52" s="72">
        <f>ROUND(AA52/VLOOKUP($C52,CapRate,17),0)</f>
        <v>167</v>
      </c>
      <c r="BB52" s="72">
        <f>ROUND(AB52/VLOOKUP($C52,CapRate,18),0)</f>
        <v>187</v>
      </c>
      <c r="BC52" s="72">
        <f>ROUND(AC52/VLOOKUP($C52,CapRate,19),0)</f>
        <v>202</v>
      </c>
      <c r="BD52" s="72">
        <f>ROUND(AD52/VLOOKUP($C52,CapRate,20),0)</f>
        <v>210</v>
      </c>
      <c r="BE52" s="72">
        <f>ROUND(AE52/VLOOKUP($C52,CapRate,21),0)</f>
        <v>212</v>
      </c>
      <c r="BF52" s="72">
        <f>ROUND(AF52/VLOOKUP($C52,CapRate,22),0)</f>
        <v>210</v>
      </c>
      <c r="BG52" s="72">
        <f>ROUND(AG52/VLOOKUP($C52,CapRate,23),0)</f>
        <v>201</v>
      </c>
      <c r="BH52" s="72">
        <f>ROUND(AH52/VLOOKUP($C52,CapRate,24),0)</f>
        <v>186</v>
      </c>
      <c r="BI52" s="72">
        <f>ROUND(AI52/VLOOKUP($C52,CapRate,25),0)</f>
        <v>157</v>
      </c>
      <c r="BJ52" s="72">
        <f>ROUND(AJ52/VLOOKUP($C52,CapRate,26),0)</f>
        <v>135</v>
      </c>
      <c r="BK52" s="87">
        <f t="shared" si="13"/>
        <v>-0.14012738853503182</v>
      </c>
      <c r="BL52" s="76"/>
      <c r="BM52" s="77"/>
      <c r="BN52" s="77">
        <f>BK52</f>
        <v>-0.14012738853503182</v>
      </c>
      <c r="BO52" s="77"/>
      <c r="BP52" s="88"/>
    </row>
    <row r="53" spans="1:69" ht="15.9" customHeight="1" thickBot="1">
      <c r="A53" s="89">
        <v>20</v>
      </c>
      <c r="B53" s="22"/>
      <c r="C53" s="90" t="s">
        <v>61</v>
      </c>
      <c r="D53" s="91"/>
      <c r="E53" s="90" t="s">
        <v>41</v>
      </c>
      <c r="F53" s="190">
        <f>[1]AcreSummary!K17</f>
        <v>0.10079062171960963</v>
      </c>
      <c r="G53" s="191">
        <f>[1]Irrigated!D17</f>
        <v>200</v>
      </c>
      <c r="H53" s="94">
        <f>[1]Irrigated!E17</f>
        <v>0.877</v>
      </c>
      <c r="I53" s="95"/>
      <c r="J53" s="96">
        <f>[1]Irrigated!H17</f>
        <v>14.68</v>
      </c>
      <c r="K53" s="97">
        <f>[1]Irrigated!I17</f>
        <v>16.71</v>
      </c>
      <c r="L53" s="98">
        <f>[1]Irrigated!J17</f>
        <v>18.34</v>
      </c>
      <c r="M53" s="96">
        <f>[1]Irrigated!K17</f>
        <v>20.85</v>
      </c>
      <c r="N53" s="99">
        <f>[1]Irrigated!L17</f>
        <v>22.58</v>
      </c>
      <c r="O53" s="100">
        <v>18.78</v>
      </c>
      <c r="P53" s="99">
        <f>[1]Irrigated!M17</f>
        <v>22.44</v>
      </c>
      <c r="Q53" s="101">
        <f>[1]Irrigated!N17</f>
        <v>21.5</v>
      </c>
      <c r="R53" s="102">
        <v>21.5</v>
      </c>
      <c r="S53" s="103">
        <f>[1]Irrigated!O17</f>
        <v>20.3</v>
      </c>
      <c r="T53" s="104">
        <f>[1]Irrigated!P17</f>
        <v>20.25</v>
      </c>
      <c r="U53" s="105">
        <f>[1]Irrigated!Q17</f>
        <v>18.399999999999999</v>
      </c>
      <c r="V53" s="98">
        <f>[1]Irrigated!R17</f>
        <v>11</v>
      </c>
      <c r="W53" s="98">
        <f>[1]Irrigated!S17</f>
        <v>15.64</v>
      </c>
      <c r="X53" s="98">
        <v>21.97</v>
      </c>
      <c r="Y53" s="98">
        <v>31.19</v>
      </c>
      <c r="Z53" s="98">
        <v>41.52</v>
      </c>
      <c r="AA53" s="98">
        <v>52.28</v>
      </c>
      <c r="AB53" s="98">
        <v>63.49</v>
      </c>
      <c r="AC53" s="98">
        <v>72.349999999999994</v>
      </c>
      <c r="AD53" s="98">
        <v>77.040000000000006</v>
      </c>
      <c r="AE53" s="98">
        <v>78.72</v>
      </c>
      <c r="AF53" s="98">
        <v>77.11</v>
      </c>
      <c r="AG53" s="106">
        <v>75.010000000000005</v>
      </c>
      <c r="AH53" s="107">
        <v>68.92</v>
      </c>
      <c r="AI53" s="107">
        <v>59.04</v>
      </c>
      <c r="AJ53" s="107">
        <v>54.2</v>
      </c>
      <c r="AK53" s="90">
        <f t="shared" si="2"/>
        <v>100</v>
      </c>
      <c r="AL53" s="90">
        <f t="shared" si="3"/>
        <v>115</v>
      </c>
      <c r="AM53" s="108">
        <f t="shared" si="4"/>
        <v>125</v>
      </c>
      <c r="AN53" s="91">
        <f t="shared" si="5"/>
        <v>146</v>
      </c>
      <c r="AO53" s="108">
        <f t="shared" si="6"/>
        <v>137</v>
      </c>
      <c r="AP53" s="109">
        <f t="shared" si="7"/>
        <v>166</v>
      </c>
      <c r="AQ53" s="110">
        <f t="shared" si="11"/>
        <v>158</v>
      </c>
      <c r="AR53" s="110">
        <f t="shared" si="11"/>
        <v>158</v>
      </c>
      <c r="AS53" s="110">
        <f t="shared" si="14"/>
        <v>148</v>
      </c>
      <c r="AT53" s="110">
        <f t="shared" si="15"/>
        <v>147</v>
      </c>
      <c r="AU53" s="110">
        <f t="shared" si="12"/>
        <v>133</v>
      </c>
      <c r="AV53" s="109">
        <f t="shared" si="16"/>
        <v>76</v>
      </c>
      <c r="AW53" s="109">
        <f>ROUND(W53/VLOOKUP($C53,CapRate,13),0)</f>
        <v>107</v>
      </c>
      <c r="AX53" s="109">
        <f>ROUND(X53/VLOOKUP($C53,CapRate,14),0)</f>
        <v>150</v>
      </c>
      <c r="AY53" s="109">
        <f>ROUND(Y53/VLOOKUP($C53,CapRate,15),0)</f>
        <v>212</v>
      </c>
      <c r="AZ53" s="109">
        <f>ROUND(Z53/VLOOKUP($C53,CapRate,16),0)</f>
        <v>281</v>
      </c>
      <c r="BA53" s="109">
        <f>ROUND(AA53/VLOOKUP($C53,CapRate,17),0)</f>
        <v>351</v>
      </c>
      <c r="BB53" s="109">
        <f>ROUND(AB53/VLOOKUP($C53,CapRate,18),0)</f>
        <v>426</v>
      </c>
      <c r="BC53" s="109">
        <f>ROUND(AC53/VLOOKUP($C53,CapRate,19),0)</f>
        <v>484</v>
      </c>
      <c r="BD53" s="109">
        <f>ROUND(AD53/VLOOKUP($C53,CapRate,20),0)</f>
        <v>514</v>
      </c>
      <c r="BE53" s="109">
        <f>ROUND(AE53/VLOOKUP($C53,CapRate,21),0)</f>
        <v>526</v>
      </c>
      <c r="BF53" s="109">
        <f>ROUND(AF53/VLOOKUP($C53,CapRate,22),0)</f>
        <v>515</v>
      </c>
      <c r="BG53" s="109">
        <f>ROUND(AG53/VLOOKUP($C53,CapRate,23),0)</f>
        <v>501</v>
      </c>
      <c r="BH53" s="109">
        <f>ROUND(AH53/VLOOKUP($C53,CapRate,24),0)</f>
        <v>459</v>
      </c>
      <c r="BI53" s="109">
        <f>ROUND(AI53/VLOOKUP($C53,CapRate,25),0)</f>
        <v>393</v>
      </c>
      <c r="BJ53" s="109">
        <f>ROUND(AJ53/VLOOKUP($C53,CapRate,26),0)</f>
        <v>361</v>
      </c>
      <c r="BK53" s="113">
        <f t="shared" si="13"/>
        <v>-8.1424936386768398E-2</v>
      </c>
      <c r="BL53" s="114">
        <f>((F51*BK51)+(F52*BK52)+(F53*BK53))</f>
        <v>-0.12857749016038403</v>
      </c>
      <c r="BM53" s="115"/>
      <c r="BN53" s="115"/>
      <c r="BO53" s="115">
        <f>BK53</f>
        <v>-8.1424936386768398E-2</v>
      </c>
      <c r="BP53" s="116"/>
    </row>
    <row r="54" spans="1:69" ht="15.9" customHeight="1" thickTop="1">
      <c r="A54" s="54">
        <v>20</v>
      </c>
      <c r="B54" s="22"/>
      <c r="C54" s="8" t="s">
        <v>62</v>
      </c>
      <c r="D54" s="23" t="s">
        <v>62</v>
      </c>
      <c r="E54" s="8" t="s">
        <v>39</v>
      </c>
      <c r="F54" s="188">
        <f>[1]AcreSummary!M18</f>
        <v>0.45742662949768292</v>
      </c>
      <c r="G54" s="25"/>
      <c r="H54" s="117"/>
      <c r="I54" s="57">
        <f>[1]Native!E16</f>
        <v>5.49</v>
      </c>
      <c r="J54" s="58">
        <f>[1]Native!F16</f>
        <v>5.67</v>
      </c>
      <c r="K54" s="80">
        <f>[1]Native!G16</f>
        <v>5.96</v>
      </c>
      <c r="L54" s="68">
        <f>[1]Native!H16</f>
        <v>5.98</v>
      </c>
      <c r="M54" s="58">
        <f>[1]Native!I16</f>
        <v>6.09</v>
      </c>
      <c r="N54" s="81">
        <f>[1]Native!J16</f>
        <v>6.07</v>
      </c>
      <c r="O54" s="62">
        <v>6.08</v>
      </c>
      <c r="P54" s="81">
        <f>[1]Native!K16</f>
        <v>6.03</v>
      </c>
      <c r="Q54" s="82">
        <f>[1]Native!L16</f>
        <v>5.85</v>
      </c>
      <c r="R54" s="83">
        <v>5.85</v>
      </c>
      <c r="S54" s="84">
        <f>[1]Native!M16</f>
        <v>5.7</v>
      </c>
      <c r="T54" s="66">
        <f>[1]Native!N16</f>
        <v>5.52</v>
      </c>
      <c r="U54" s="67">
        <f>[1]Native!O16</f>
        <v>5.27</v>
      </c>
      <c r="V54" s="68">
        <f>[1]Native!P16</f>
        <v>0.96</v>
      </c>
      <c r="W54" s="68">
        <f>[1]Native!Q16</f>
        <v>0.74</v>
      </c>
      <c r="X54" s="68">
        <v>1.1000000000000001</v>
      </c>
      <c r="Y54" s="68">
        <v>1.42</v>
      </c>
      <c r="Z54" s="68">
        <v>2.57</v>
      </c>
      <c r="AA54" s="68">
        <v>4.33</v>
      </c>
      <c r="AB54" s="68">
        <v>6.05</v>
      </c>
      <c r="AC54" s="68">
        <v>7.84</v>
      </c>
      <c r="AD54" s="68">
        <v>8.8699999999999992</v>
      </c>
      <c r="AE54" s="68">
        <v>9.3000000000000007</v>
      </c>
      <c r="AF54" s="68">
        <v>9.1199999999999992</v>
      </c>
      <c r="AG54" s="69">
        <v>8.9700000000000006</v>
      </c>
      <c r="AH54" s="70">
        <v>8.61</v>
      </c>
      <c r="AI54" s="70">
        <v>8.0299999999999994</v>
      </c>
      <c r="AJ54" s="70">
        <v>7.69</v>
      </c>
      <c r="AK54" s="8">
        <f t="shared" si="2"/>
        <v>38</v>
      </c>
      <c r="AL54" s="8">
        <f t="shared" si="3"/>
        <v>39</v>
      </c>
      <c r="AM54" s="85">
        <f t="shared" si="4"/>
        <v>39</v>
      </c>
      <c r="AN54" s="23">
        <f t="shared" si="5"/>
        <v>40</v>
      </c>
      <c r="AO54" s="85">
        <f t="shared" si="6"/>
        <v>42</v>
      </c>
      <c r="AP54" s="72">
        <f t="shared" si="7"/>
        <v>42</v>
      </c>
      <c r="AQ54" s="71">
        <f t="shared" si="11"/>
        <v>40</v>
      </c>
      <c r="AR54" s="71">
        <f t="shared" si="11"/>
        <v>40</v>
      </c>
      <c r="AS54" s="71">
        <f t="shared" si="14"/>
        <v>39</v>
      </c>
      <c r="AT54" s="71">
        <f t="shared" si="15"/>
        <v>38</v>
      </c>
      <c r="AU54" s="71">
        <f t="shared" si="12"/>
        <v>36</v>
      </c>
      <c r="AV54" s="122">
        <f>IF(ROUND(V54/VLOOKUP($C54,CapRate,12),0)&gt;10,V54/VLOOKUP($C54,CapRate,12),10)</f>
        <v>10</v>
      </c>
      <c r="AW54" s="122">
        <f>IF(ROUND(W54/VLOOKUP($C54,CapRate,13),0)&gt;10,W54/VLOOKUP($C54,CapRate,13),10)</f>
        <v>10</v>
      </c>
      <c r="AX54" s="122">
        <f>IF(ROUND(X54/VLOOKUP($C54,CapRate,14),0)&gt;10,X54/VLOOKUP($C54,CapRate,14),10)</f>
        <v>10</v>
      </c>
      <c r="AY54" s="122">
        <f>IF(ROUND(Y54/VLOOKUP($C54,CapRate,15),0)&gt;10,Y54/VLOOKUP($C54,CapRate,15),10)</f>
        <v>10</v>
      </c>
      <c r="AZ54" s="122">
        <f>IF(ROUND(Z54/VLOOKUP($C54,CapRate,16),0)&gt;10,Z54/VLOOKUP($C54,CapRate,16),10)</f>
        <v>17.156208277703605</v>
      </c>
      <c r="BA54" s="122">
        <f>IF(ROUND(AA54/VLOOKUP($C54,CapRate,17),0)&gt;10,AA54/VLOOKUP($C54,CapRate,17),10)</f>
        <v>28.847435043304461</v>
      </c>
      <c r="BB54" s="122">
        <f>IF(ROUND(AB54/VLOOKUP($C54,CapRate,18),0)&gt;10,AB54/VLOOKUP($C54,CapRate,18),10)</f>
        <v>39.986781229345674</v>
      </c>
      <c r="BC54" s="122">
        <f>IF(ROUND(AC54/VLOOKUP($C54,CapRate,19),0)&gt;10,AC54/VLOOKUP($C54,CapRate,19),10)</f>
        <v>51.275343361674295</v>
      </c>
      <c r="BD54" s="122">
        <f>IF(ROUND(AD54/VLOOKUP($C54,CapRate,20),0)&gt;10,AD54/VLOOKUP($C54,CapRate,20),10)</f>
        <v>57.709824333116451</v>
      </c>
      <c r="BE54" s="122">
        <f>IF(ROUND(AE54/VLOOKUP($C54,CapRate,21),0)&gt;10,AE54/VLOOKUP($C54,CapRate,21),10)</f>
        <v>60.428849902534111</v>
      </c>
      <c r="BF54" s="122">
        <f>IF(ROUND(AF54/VLOOKUP($C54,CapRate,22),0)&gt;10,AF54/VLOOKUP($C54,CapRate,22),10)</f>
        <v>59.336369551073517</v>
      </c>
      <c r="BG54" s="122">
        <f>IF(ROUND(AG54/VLOOKUP($C54,CapRate,23),0)&gt;10,AG54/VLOOKUP($C54,CapRate,23),10)</f>
        <v>58.474576271186443</v>
      </c>
      <c r="BH54" s="122">
        <f>IF(ROUND(AH54/VLOOKUP($C54,CapRate,24),0)&gt;10,AH54/VLOOKUP($C54,CapRate,24),10)</f>
        <v>56.311314584695872</v>
      </c>
      <c r="BI54" s="122">
        <f>IF(ROUND(AI54/VLOOKUP($C54,CapRate,25),0)&gt;10,AI54/VLOOKUP($C54,CapRate,25),10)</f>
        <v>52.586771447282246</v>
      </c>
      <c r="BJ54" s="122">
        <f>IF(ROUND(AJ54/VLOOKUP($C54,CapRate,26),0)&gt;10,AJ54/VLOOKUP($C54,CapRate,26),10)</f>
        <v>51.130319148936174</v>
      </c>
      <c r="BK54" s="75">
        <f t="shared" si="13"/>
        <v>-2.7696172597440283E-2</v>
      </c>
      <c r="BL54" s="76"/>
      <c r="BM54" s="77">
        <f>BK54</f>
        <v>-2.7696172597440283E-2</v>
      </c>
      <c r="BN54" s="77"/>
      <c r="BO54" s="77"/>
      <c r="BP54" s="88"/>
    </row>
    <row r="55" spans="1:69" ht="15.9" customHeight="1">
      <c r="A55" s="54">
        <v>20</v>
      </c>
      <c r="B55" s="22"/>
      <c r="C55" s="8" t="s">
        <v>62</v>
      </c>
      <c r="D55" s="23"/>
      <c r="E55" s="8" t="s">
        <v>40</v>
      </c>
      <c r="F55" s="188">
        <f>[1]AcreSummary!J18</f>
        <v>0.53239183509721133</v>
      </c>
      <c r="G55" s="25"/>
      <c r="H55" s="117"/>
      <c r="I55" s="57">
        <f>[1]Dry!E18</f>
        <v>12.35</v>
      </c>
      <c r="J55" s="58">
        <f>[1]Dry!F18</f>
        <v>12.25</v>
      </c>
      <c r="K55" s="80">
        <f>[1]Dry!G18</f>
        <v>12.33</v>
      </c>
      <c r="L55" s="68">
        <f>[1]Dry!H18</f>
        <v>12.61</v>
      </c>
      <c r="M55" s="58">
        <f>[1]Dry!I18</f>
        <v>12.8</v>
      </c>
      <c r="N55" s="81">
        <f>[1]Dry!J18</f>
        <v>13.17</v>
      </c>
      <c r="O55" s="62">
        <v>13.16</v>
      </c>
      <c r="P55" s="81">
        <f>[1]Dry!K18</f>
        <v>13.15</v>
      </c>
      <c r="Q55" s="82">
        <f>[1]Dry!L18</f>
        <v>13.24</v>
      </c>
      <c r="R55" s="83">
        <f>Q55*0.95</f>
        <v>12.577999999999999</v>
      </c>
      <c r="S55" s="84">
        <f>[1]Dry!N18</f>
        <v>12.88</v>
      </c>
      <c r="T55" s="66">
        <f>[1]Dry!O18</f>
        <v>12.6</v>
      </c>
      <c r="U55" s="67">
        <f>[1]Dry!P18</f>
        <v>11.94</v>
      </c>
      <c r="V55" s="68">
        <f>[1]Dry!Q18</f>
        <v>9.4</v>
      </c>
      <c r="W55" s="68">
        <f>[1]Dry!R18</f>
        <v>10.210000000000001</v>
      </c>
      <c r="X55" s="68">
        <f>[1]Dry!S18</f>
        <v>11.89</v>
      </c>
      <c r="Y55" s="68">
        <f>[1]Dry!T18</f>
        <v>14.74</v>
      </c>
      <c r="Z55" s="68">
        <v>17.489999999999998</v>
      </c>
      <c r="AA55" s="68">
        <v>20.82</v>
      </c>
      <c r="AB55" s="68">
        <v>23.87</v>
      </c>
      <c r="AC55" s="68">
        <v>25.2</v>
      </c>
      <c r="AD55" s="68">
        <v>25.97</v>
      </c>
      <c r="AE55" s="68">
        <v>26.38</v>
      </c>
      <c r="AF55" s="68">
        <v>26.44</v>
      </c>
      <c r="AG55" s="69">
        <v>25.43</v>
      </c>
      <c r="AH55" s="70">
        <v>23.51</v>
      </c>
      <c r="AI55" s="70">
        <v>19.36</v>
      </c>
      <c r="AJ55" s="70">
        <v>17.36</v>
      </c>
      <c r="AK55" s="8">
        <f t="shared" si="2"/>
        <v>81</v>
      </c>
      <c r="AL55" s="8">
        <f t="shared" si="3"/>
        <v>82</v>
      </c>
      <c r="AM55" s="85">
        <f t="shared" si="4"/>
        <v>82</v>
      </c>
      <c r="AN55" s="23">
        <f t="shared" si="5"/>
        <v>85</v>
      </c>
      <c r="AO55" s="85">
        <f t="shared" si="6"/>
        <v>91</v>
      </c>
      <c r="AP55" s="72">
        <f t="shared" si="7"/>
        <v>91</v>
      </c>
      <c r="AQ55" s="71">
        <f t="shared" si="11"/>
        <v>91</v>
      </c>
      <c r="AR55" s="71">
        <f t="shared" si="11"/>
        <v>87</v>
      </c>
      <c r="AS55" s="71">
        <f t="shared" si="14"/>
        <v>89</v>
      </c>
      <c r="AT55" s="71">
        <f t="shared" si="15"/>
        <v>87</v>
      </c>
      <c r="AU55" s="71">
        <f t="shared" si="12"/>
        <v>82</v>
      </c>
      <c r="AV55" s="72">
        <f t="shared" si="16"/>
        <v>64</v>
      </c>
      <c r="AW55" s="72">
        <f>ROUND(W55/VLOOKUP($C55,CapRate,13),0)</f>
        <v>69</v>
      </c>
      <c r="AX55" s="72">
        <f>ROUND(X55/VLOOKUP($C55,CapRate,14),0)</f>
        <v>80</v>
      </c>
      <c r="AY55" s="72">
        <f>ROUND(Y55/VLOOKUP($C55,CapRate,15),0)</f>
        <v>99</v>
      </c>
      <c r="AZ55" s="72">
        <f>ROUND(Z55/VLOOKUP($C55,CapRate,16),0)</f>
        <v>117</v>
      </c>
      <c r="BA55" s="72">
        <f>ROUND(AA55/VLOOKUP($C55,CapRate,17),0)</f>
        <v>139</v>
      </c>
      <c r="BB55" s="72">
        <f>ROUND(AB55/VLOOKUP($C55,CapRate,18),0)</f>
        <v>158</v>
      </c>
      <c r="BC55" s="72">
        <f>ROUND(AC55/VLOOKUP($C55,CapRate,19),0)</f>
        <v>165</v>
      </c>
      <c r="BD55" s="72">
        <f>ROUND(AD55/VLOOKUP($C55,CapRate,20),0)</f>
        <v>169</v>
      </c>
      <c r="BE55" s="72">
        <f>ROUND(AE55/VLOOKUP($C55,CapRate,21),0)</f>
        <v>171</v>
      </c>
      <c r="BF55" s="72">
        <f>ROUND(AF55/VLOOKUP($C55,CapRate,22),0)</f>
        <v>172</v>
      </c>
      <c r="BG55" s="72">
        <f>ROUND(AG55/VLOOKUP($C55,CapRate,23),0)</f>
        <v>166</v>
      </c>
      <c r="BH55" s="72">
        <f>ROUND(AH55/VLOOKUP($C55,CapRate,24),0)</f>
        <v>154</v>
      </c>
      <c r="BI55" s="72">
        <f>ROUND(AI55/VLOOKUP($C55,CapRate,25),0)</f>
        <v>127</v>
      </c>
      <c r="BJ55" s="72">
        <f>ROUND(AJ55/VLOOKUP($C55,CapRate,26),0)</f>
        <v>115</v>
      </c>
      <c r="BK55" s="87">
        <f t="shared" si="13"/>
        <v>-9.4488188976378007E-2</v>
      </c>
      <c r="BL55" s="76"/>
      <c r="BM55" s="77"/>
      <c r="BN55" s="77">
        <f>BK55</f>
        <v>-9.4488188976378007E-2</v>
      </c>
      <c r="BO55" s="77"/>
      <c r="BP55" s="88"/>
    </row>
    <row r="56" spans="1:69" ht="15.9" customHeight="1" thickBot="1">
      <c r="A56" s="89">
        <v>20</v>
      </c>
      <c r="B56" s="22"/>
      <c r="C56" s="90" t="s">
        <v>62</v>
      </c>
      <c r="D56" s="91"/>
      <c r="E56" s="90" t="s">
        <v>41</v>
      </c>
      <c r="F56" s="190">
        <f>[1]AcreSummary!K18</f>
        <v>1.0181535405105743E-2</v>
      </c>
      <c r="G56" s="191">
        <f>[1]Irrigated!D18</f>
        <v>100</v>
      </c>
      <c r="H56" s="94">
        <f>[1]Irrigated!E18</f>
        <v>0.87890000000000001</v>
      </c>
      <c r="I56" s="95"/>
      <c r="J56" s="96">
        <f>[1]Irrigated!H18</f>
        <v>23.29</v>
      </c>
      <c r="K56" s="97">
        <f>[1]Irrigated!I18</f>
        <v>25.32</v>
      </c>
      <c r="L56" s="98">
        <f>[1]Irrigated!J18</f>
        <v>27.16</v>
      </c>
      <c r="M56" s="96">
        <f>[1]Irrigated!K18</f>
        <v>30.02</v>
      </c>
      <c r="N56" s="99">
        <f>[1]Irrigated!L18</f>
        <v>32.090000000000003</v>
      </c>
      <c r="O56" s="100">
        <v>31.58</v>
      </c>
      <c r="P56" s="99">
        <f>[1]Irrigated!M18</f>
        <v>32.46</v>
      </c>
      <c r="Q56" s="101">
        <f>[1]Irrigated!N18</f>
        <v>31.77</v>
      </c>
      <c r="R56" s="102">
        <v>31.77</v>
      </c>
      <c r="S56" s="103">
        <f>[1]Irrigated!O18</f>
        <v>30.57</v>
      </c>
      <c r="T56" s="104">
        <f>[1]Irrigated!P18</f>
        <v>30.56</v>
      </c>
      <c r="U56" s="105">
        <f>[1]Irrigated!Q18</f>
        <v>28.86</v>
      </c>
      <c r="V56" s="98">
        <f>[1]Irrigated!R18</f>
        <v>20.03</v>
      </c>
      <c r="W56" s="98">
        <f>[1]Irrigated!S18</f>
        <v>24.47</v>
      </c>
      <c r="X56" s="98">
        <v>30.69</v>
      </c>
      <c r="Y56" s="98">
        <v>39.57</v>
      </c>
      <c r="Z56" s="98">
        <v>49.88</v>
      </c>
      <c r="AA56" s="98">
        <v>60.65</v>
      </c>
      <c r="AB56" s="98">
        <v>72.03</v>
      </c>
      <c r="AC56" s="98">
        <v>81.41</v>
      </c>
      <c r="AD56" s="98">
        <v>87.74</v>
      </c>
      <c r="AE56" s="98">
        <v>90.06</v>
      </c>
      <c r="AF56" s="98">
        <v>88.54</v>
      </c>
      <c r="AG56" s="106">
        <v>86.64</v>
      </c>
      <c r="AH56" s="107">
        <v>80.45</v>
      </c>
      <c r="AI56" s="107">
        <v>70.849999999999994</v>
      </c>
      <c r="AJ56" s="107">
        <v>65.86</v>
      </c>
      <c r="AK56" s="90">
        <f t="shared" si="2"/>
        <v>154</v>
      </c>
      <c r="AL56" s="90">
        <f t="shared" si="3"/>
        <v>167</v>
      </c>
      <c r="AM56" s="108">
        <f t="shared" si="4"/>
        <v>177</v>
      </c>
      <c r="AN56" s="91">
        <f t="shared" si="5"/>
        <v>199</v>
      </c>
      <c r="AO56" s="108">
        <f t="shared" si="6"/>
        <v>217</v>
      </c>
      <c r="AP56" s="109">
        <f t="shared" si="7"/>
        <v>226</v>
      </c>
      <c r="AQ56" s="110">
        <f t="shared" si="11"/>
        <v>220</v>
      </c>
      <c r="AR56" s="110">
        <f t="shared" si="11"/>
        <v>220</v>
      </c>
      <c r="AS56" s="110">
        <f t="shared" si="14"/>
        <v>211</v>
      </c>
      <c r="AT56" s="110">
        <f t="shared" si="15"/>
        <v>210</v>
      </c>
      <c r="AU56" s="110">
        <f t="shared" si="12"/>
        <v>198</v>
      </c>
      <c r="AV56" s="109">
        <f t="shared" si="16"/>
        <v>136</v>
      </c>
      <c r="AW56" s="109">
        <f>ROUND(W56/VLOOKUP($C56,CapRate,13),0)</f>
        <v>165</v>
      </c>
      <c r="AX56" s="109">
        <f>ROUND(X56/VLOOKUP($C56,CapRate,14),0)</f>
        <v>206</v>
      </c>
      <c r="AY56" s="109">
        <f>ROUND(Y56/VLOOKUP($C56,CapRate,15),0)</f>
        <v>265</v>
      </c>
      <c r="AZ56" s="109">
        <f>ROUND(Z56/VLOOKUP($C56,CapRate,16),0)</f>
        <v>333</v>
      </c>
      <c r="BA56" s="109">
        <f>ROUND(AA56/VLOOKUP($C56,CapRate,17),0)</f>
        <v>404</v>
      </c>
      <c r="BB56" s="109">
        <f>ROUND(AB56/VLOOKUP($C56,CapRate,18),0)</f>
        <v>476</v>
      </c>
      <c r="BC56" s="109">
        <f>ROUND(AC56/VLOOKUP($C56,CapRate,19),0)</f>
        <v>532</v>
      </c>
      <c r="BD56" s="109">
        <f>ROUND(AD56/VLOOKUP($C56,CapRate,20),0)</f>
        <v>571</v>
      </c>
      <c r="BE56" s="109">
        <f>ROUND(AE56/VLOOKUP($C56,CapRate,21),0)</f>
        <v>585</v>
      </c>
      <c r="BF56" s="109">
        <f>ROUND(AF56/VLOOKUP($C56,CapRate,22),0)</f>
        <v>576</v>
      </c>
      <c r="BG56" s="109">
        <f>ROUND(AG56/VLOOKUP($C56,CapRate,23),0)</f>
        <v>565</v>
      </c>
      <c r="BH56" s="109">
        <f>ROUND(AH56/VLOOKUP($C56,CapRate,24),0)</f>
        <v>526</v>
      </c>
      <c r="BI56" s="109">
        <f>ROUND(AI56/VLOOKUP($C56,CapRate,25),0)</f>
        <v>464</v>
      </c>
      <c r="BJ56" s="109">
        <f>ROUND(AJ56/VLOOKUP($C56,CapRate,26),0)</f>
        <v>438</v>
      </c>
      <c r="BK56" s="113">
        <f t="shared" si="13"/>
        <v>-5.6034482758620663E-2</v>
      </c>
      <c r="BL56" s="114">
        <f>((F54*BK54)+(F55*BK55)+(F56*BK56))</f>
        <v>-6.3544224275492861E-2</v>
      </c>
      <c r="BM56" s="115"/>
      <c r="BN56" s="115"/>
      <c r="BO56" s="115">
        <f>BK56</f>
        <v>-5.6034482758620663E-2</v>
      </c>
      <c r="BP56" s="116"/>
    </row>
    <row r="57" spans="1:69" ht="15.9" customHeight="1" thickTop="1">
      <c r="A57" s="54">
        <v>20</v>
      </c>
      <c r="B57" s="22"/>
      <c r="C57" s="8" t="s">
        <v>63</v>
      </c>
      <c r="D57" s="23" t="s">
        <v>63</v>
      </c>
      <c r="E57" s="8" t="s">
        <v>39</v>
      </c>
      <c r="F57" s="188">
        <f>[1]AcreSummary!M19</f>
        <v>0.4320574919988483</v>
      </c>
      <c r="G57" s="25"/>
      <c r="H57" s="117"/>
      <c r="I57" s="57">
        <f>[1]Native!E17</f>
        <v>4.49</v>
      </c>
      <c r="J57" s="58">
        <f>[1]Native!F17</f>
        <v>4.33</v>
      </c>
      <c r="K57" s="80">
        <f>[1]Native!G17</f>
        <v>4.55</v>
      </c>
      <c r="L57" s="68">
        <f>[1]Native!H17</f>
        <v>4.53</v>
      </c>
      <c r="M57" s="58">
        <f>[1]Native!I17</f>
        <v>4.58</v>
      </c>
      <c r="N57" s="81">
        <f>[1]Native!J17</f>
        <v>4.5</v>
      </c>
      <c r="O57" s="62">
        <v>4.46</v>
      </c>
      <c r="P57" s="81">
        <f>[1]Native!K17</f>
        <v>4.43</v>
      </c>
      <c r="Q57" s="82">
        <f>[1]Native!L17</f>
        <v>4.25</v>
      </c>
      <c r="R57" s="83">
        <v>4.25</v>
      </c>
      <c r="S57" s="84">
        <f>[1]Native!M17</f>
        <v>4.08</v>
      </c>
      <c r="T57" s="66">
        <f>[1]Native!N17</f>
        <v>3.88</v>
      </c>
      <c r="U57" s="67">
        <f>[1]Native!O17</f>
        <v>3.62</v>
      </c>
      <c r="V57" s="68">
        <f>[1]Native!P17</f>
        <v>-1.17</v>
      </c>
      <c r="W57" s="68">
        <f>[1]Native!Q17</f>
        <v>-1.55</v>
      </c>
      <c r="X57" s="68">
        <v>-1.36</v>
      </c>
      <c r="Y57" s="68">
        <v>-1.19</v>
      </c>
      <c r="Z57" s="68">
        <v>-0.24</v>
      </c>
      <c r="AA57" s="68">
        <v>1.32</v>
      </c>
      <c r="AB57" s="68">
        <v>2.96</v>
      </c>
      <c r="AC57" s="68">
        <v>4.6500000000000004</v>
      </c>
      <c r="AD57" s="68">
        <v>5.56</v>
      </c>
      <c r="AE57" s="68">
        <v>5.9</v>
      </c>
      <c r="AF57" s="68">
        <v>5.66</v>
      </c>
      <c r="AG57" s="69">
        <v>5.44</v>
      </c>
      <c r="AH57" s="70">
        <v>5.04</v>
      </c>
      <c r="AI57" s="70">
        <v>4.38</v>
      </c>
      <c r="AJ57" s="70">
        <v>3.97</v>
      </c>
      <c r="AK57" s="8">
        <f t="shared" si="2"/>
        <v>29</v>
      </c>
      <c r="AL57" s="8">
        <f t="shared" si="3"/>
        <v>31</v>
      </c>
      <c r="AM57" s="85">
        <f t="shared" si="4"/>
        <v>30</v>
      </c>
      <c r="AN57" s="23">
        <f t="shared" si="5"/>
        <v>31</v>
      </c>
      <c r="AO57" s="85">
        <f t="shared" si="6"/>
        <v>32</v>
      </c>
      <c r="AP57" s="72">
        <f t="shared" si="7"/>
        <v>32</v>
      </c>
      <c r="AQ57" s="71">
        <f t="shared" si="11"/>
        <v>30</v>
      </c>
      <c r="AR57" s="71">
        <f t="shared" si="11"/>
        <v>30</v>
      </c>
      <c r="AS57" s="71">
        <f t="shared" si="14"/>
        <v>29</v>
      </c>
      <c r="AT57" s="71">
        <f t="shared" si="15"/>
        <v>28</v>
      </c>
      <c r="AU57" s="71">
        <f t="shared" si="12"/>
        <v>26</v>
      </c>
      <c r="AV57" s="122">
        <f>IF(ROUND(V57/VLOOKUP($C57,CapRate,12),0)&gt;10,V57/VLOOKUP($C57,CapRate,12),10)</f>
        <v>10</v>
      </c>
      <c r="AW57" s="122">
        <f>IF(ROUND(W57/VLOOKUP($C57,CapRate,13),0)&gt;10,W57/VLOOKUP($C57,CapRate,13),10)</f>
        <v>10</v>
      </c>
      <c r="AX57" s="122">
        <f>IF(ROUND(X57/VLOOKUP($C57,CapRate,14),0)&gt;10,X57/VLOOKUP($C57,CapRate,14),10)</f>
        <v>10</v>
      </c>
      <c r="AY57" s="122">
        <f>IF(ROUND(Y57/VLOOKUP($C57,CapRate,15),0)&gt;10,Y57/VLOOKUP($C57,CapRate,15),10)</f>
        <v>10</v>
      </c>
      <c r="AZ57" s="122">
        <f>IF(ROUND(Z57/VLOOKUP($C57,CapRate,16),0)&gt;10,Z57/VLOOKUP($C57,CapRate,16),10)</f>
        <v>10</v>
      </c>
      <c r="BA57" s="122">
        <f>IF(ROUND(AA57/VLOOKUP($C57,CapRate,17),0)&gt;10,AA57/VLOOKUP($C57,CapRate,17),10)</f>
        <v>10</v>
      </c>
      <c r="BB57" s="122">
        <f>IF(ROUND(AB57/VLOOKUP($C57,CapRate,18),0)&gt;10,AB57/VLOOKUP($C57,CapRate,18),10)</f>
        <v>19.023136246786635</v>
      </c>
      <c r="BC57" s="122">
        <f>IF(ROUND(AC57/VLOOKUP($C57,CapRate,19),0)&gt;10,AC57/VLOOKUP($C57,CapRate,19),10)</f>
        <v>29.845956354300387</v>
      </c>
      <c r="BD57" s="122">
        <f>IF(ROUND(AD57/VLOOKUP($C57,CapRate,20),0)&gt;10,AD57/VLOOKUP($C57,CapRate,20),10)</f>
        <v>35.595390524967989</v>
      </c>
      <c r="BE57" s="122">
        <f>IF(ROUND(AE57/VLOOKUP($C57,CapRate,21),0)&gt;10,AE57/VLOOKUP($C57,CapRate,21),10)</f>
        <v>37.844772289929445</v>
      </c>
      <c r="BF57" s="122">
        <f>IF(ROUND(AF57/VLOOKUP($C57,CapRate,22),0)&gt;10,AF57/VLOOKUP($C57,CapRate,22),10)</f>
        <v>36.422136422136418</v>
      </c>
      <c r="BG57" s="122">
        <f>IF(ROUND(AG57/VLOOKUP($C57,CapRate,23),0)&gt;10,AG57/VLOOKUP($C57,CapRate,23),10)</f>
        <v>35.142118863049099</v>
      </c>
      <c r="BH57" s="122">
        <f>IF(ROUND(AH57/VLOOKUP($C57,CapRate,24),0)&gt;10,AH57/VLOOKUP($C57,CapRate,24),10)</f>
        <v>32.558139534883722</v>
      </c>
      <c r="BI57" s="122">
        <f>IF(ROUND(AI57/VLOOKUP($C57,CapRate,25),0)&gt;10,AI57/VLOOKUP($C57,CapRate,25),10)</f>
        <v>28.276307295029049</v>
      </c>
      <c r="BJ57" s="122">
        <f>IF(ROUND(AJ57/VLOOKUP($C57,CapRate,26),0)&gt;10,AJ57/VLOOKUP($C57,CapRate,26),10)</f>
        <v>25.530546623794212</v>
      </c>
      <c r="BK57" s="75">
        <f t="shared" si="13"/>
        <v>-9.7104641090017374E-2</v>
      </c>
      <c r="BL57" s="76"/>
      <c r="BM57" s="77">
        <f>BK57</f>
        <v>-9.7104641090017374E-2</v>
      </c>
      <c r="BN57" s="77"/>
      <c r="BO57" s="77"/>
      <c r="BP57" s="88"/>
    </row>
    <row r="58" spans="1:69" ht="15.9" customHeight="1">
      <c r="A58" s="54">
        <v>20</v>
      </c>
      <c r="B58" s="22"/>
      <c r="C58" s="8" t="s">
        <v>63</v>
      </c>
      <c r="D58" s="23"/>
      <c r="E58" s="8" t="s">
        <v>40</v>
      </c>
      <c r="F58" s="188">
        <f>[1]AcreSummary!J19</f>
        <v>0.48907458870153253</v>
      </c>
      <c r="G58" s="25"/>
      <c r="H58" s="117"/>
      <c r="I58" s="57">
        <f>[1]Dry!E19</f>
        <v>12.19</v>
      </c>
      <c r="J58" s="58">
        <f>[1]Dry!F19</f>
        <v>12.13</v>
      </c>
      <c r="K58" s="80">
        <f>[1]Dry!G19</f>
        <v>12.54</v>
      </c>
      <c r="L58" s="68">
        <f>[1]Dry!H19</f>
        <v>13.03</v>
      </c>
      <c r="M58" s="58">
        <f>[1]Dry!I19</f>
        <v>13.32</v>
      </c>
      <c r="N58" s="81">
        <f>[1]Dry!J19</f>
        <v>13.74</v>
      </c>
      <c r="O58" s="62">
        <v>13.74</v>
      </c>
      <c r="P58" s="81">
        <f>[1]Dry!K19</f>
        <v>13.55</v>
      </c>
      <c r="Q58" s="82">
        <f>[1]Dry!L19</f>
        <v>13.18</v>
      </c>
      <c r="R58" s="83">
        <f>Q58*0.95</f>
        <v>12.520999999999999</v>
      </c>
      <c r="S58" s="84">
        <f>[1]Dry!N19</f>
        <v>12.23</v>
      </c>
      <c r="T58" s="66">
        <f>[1]Dry!O19</f>
        <v>11.09</v>
      </c>
      <c r="U58" s="67">
        <f>[1]Dry!P19</f>
        <v>9.76</v>
      </c>
      <c r="V58" s="68">
        <f>[1]Dry!Q19</f>
        <v>5.77</v>
      </c>
      <c r="W58" s="68">
        <f>[1]Dry!R19</f>
        <v>6.84</v>
      </c>
      <c r="X58" s="68">
        <f>[1]Dry!S19</f>
        <v>8.76</v>
      </c>
      <c r="Y58" s="68">
        <f>[1]Dry!T19</f>
        <v>11.59</v>
      </c>
      <c r="Z58" s="68">
        <v>13.88</v>
      </c>
      <c r="AA58" s="68">
        <v>16.5</v>
      </c>
      <c r="AB58" s="68">
        <v>18.600000000000001</v>
      </c>
      <c r="AC58" s="68">
        <v>20.100000000000001</v>
      </c>
      <c r="AD58" s="68">
        <v>20.46</v>
      </c>
      <c r="AE58" s="68">
        <v>19.989999999999998</v>
      </c>
      <c r="AF58" s="68">
        <v>19.22</v>
      </c>
      <c r="AG58" s="69">
        <v>17.649999999999999</v>
      </c>
      <c r="AH58" s="70">
        <v>15.72</v>
      </c>
      <c r="AI58" s="70">
        <v>11.47</v>
      </c>
      <c r="AJ58" s="70">
        <v>8.42</v>
      </c>
      <c r="AK58" s="8">
        <f t="shared" si="2"/>
        <v>82</v>
      </c>
      <c r="AL58" s="8">
        <f t="shared" si="3"/>
        <v>85</v>
      </c>
      <c r="AM58" s="85">
        <f t="shared" si="4"/>
        <v>87</v>
      </c>
      <c r="AN58" s="23">
        <f t="shared" si="5"/>
        <v>91</v>
      </c>
      <c r="AO58" s="85">
        <f t="shared" si="6"/>
        <v>98</v>
      </c>
      <c r="AP58" s="72">
        <f t="shared" si="7"/>
        <v>97</v>
      </c>
      <c r="AQ58" s="71">
        <f t="shared" si="11"/>
        <v>94</v>
      </c>
      <c r="AR58" s="71">
        <f t="shared" si="11"/>
        <v>90</v>
      </c>
      <c r="AS58" s="71">
        <f t="shared" si="14"/>
        <v>88</v>
      </c>
      <c r="AT58" s="71">
        <f t="shared" si="15"/>
        <v>80</v>
      </c>
      <c r="AU58" s="71">
        <f t="shared" si="12"/>
        <v>70</v>
      </c>
      <c r="AV58" s="72">
        <f t="shared" si="16"/>
        <v>40</v>
      </c>
      <c r="AW58" s="72">
        <f>ROUND(W58/VLOOKUP($C58,CapRate,13),0)</f>
        <v>46</v>
      </c>
      <c r="AX58" s="72">
        <f>ROUND(X58/VLOOKUP($C58,CapRate,14),0)</f>
        <v>59</v>
      </c>
      <c r="AY58" s="72">
        <f>ROUND(Y58/VLOOKUP($C58,CapRate,15),0)</f>
        <v>76</v>
      </c>
      <c r="AZ58" s="72">
        <f>ROUND(Z58/VLOOKUP($C58,CapRate,16),0)</f>
        <v>91</v>
      </c>
      <c r="BA58" s="72">
        <f>ROUND(AA58/VLOOKUP($C58,CapRate,17),0)</f>
        <v>107</v>
      </c>
      <c r="BB58" s="72">
        <f>ROUND(AB58/VLOOKUP($C58,CapRate,18),0)</f>
        <v>120</v>
      </c>
      <c r="BC58" s="72">
        <f>ROUND(AC58/VLOOKUP($C58,CapRate,19),0)</f>
        <v>129</v>
      </c>
      <c r="BD58" s="72">
        <f>ROUND(AD58/VLOOKUP($C58,CapRate,20),0)</f>
        <v>131</v>
      </c>
      <c r="BE58" s="72">
        <f>ROUND(AE58/VLOOKUP($C58,CapRate,21),0)</f>
        <v>128</v>
      </c>
      <c r="BF58" s="72">
        <f>ROUND(AF58/VLOOKUP($C58,CapRate,22),0)</f>
        <v>124</v>
      </c>
      <c r="BG58" s="72">
        <f>ROUND(AG58/VLOOKUP($C58,CapRate,23),0)</f>
        <v>114</v>
      </c>
      <c r="BH58" s="72">
        <f>ROUND(AH58/VLOOKUP($C58,CapRate,24),0)</f>
        <v>102</v>
      </c>
      <c r="BI58" s="72">
        <f>ROUND(AI58/VLOOKUP($C58,CapRate,25),0)</f>
        <v>74</v>
      </c>
      <c r="BJ58" s="72">
        <f>ROUND(AJ58/VLOOKUP($C58,CapRate,26),0)</f>
        <v>54</v>
      </c>
      <c r="BK58" s="87">
        <f t="shared" si="13"/>
        <v>-0.27027027027027029</v>
      </c>
      <c r="BL58" s="76"/>
      <c r="BM58" s="77"/>
      <c r="BN58" s="77">
        <f>BK58</f>
        <v>-0.27027027027027029</v>
      </c>
      <c r="BO58" s="77"/>
      <c r="BP58" s="88"/>
    </row>
    <row r="59" spans="1:69" ht="15.9" customHeight="1" thickBot="1">
      <c r="A59" s="89">
        <v>20</v>
      </c>
      <c r="B59" s="22"/>
      <c r="C59" s="90" t="s">
        <v>63</v>
      </c>
      <c r="D59" s="91"/>
      <c r="E59" s="90" t="s">
        <v>41</v>
      </c>
      <c r="F59" s="190">
        <f>[1]AcreSummary!K19</f>
        <v>7.8867919299619144E-2</v>
      </c>
      <c r="G59" s="191">
        <f>[1]Irrigated!D19</f>
        <v>200</v>
      </c>
      <c r="H59" s="94">
        <f>[1]Irrigated!E19</f>
        <v>0.5</v>
      </c>
      <c r="I59" s="95"/>
      <c r="J59" s="96">
        <f>[1]Irrigated!H19</f>
        <v>21.35</v>
      </c>
      <c r="K59" s="97">
        <f>[1]Irrigated!I19</f>
        <v>23.27</v>
      </c>
      <c r="L59" s="98">
        <f>[1]Irrigated!J19</f>
        <v>24.77</v>
      </c>
      <c r="M59" s="96">
        <f>[1]Irrigated!K19</f>
        <v>27.23</v>
      </c>
      <c r="N59" s="99">
        <f>[1]Irrigated!L19</f>
        <v>28.85</v>
      </c>
      <c r="O59" s="100">
        <v>23.13</v>
      </c>
      <c r="P59" s="99">
        <f>[1]Irrigated!M19</f>
        <v>28.56</v>
      </c>
      <c r="Q59" s="101">
        <f>[1]Irrigated!N19</f>
        <v>26.93</v>
      </c>
      <c r="R59" s="102">
        <v>26.93</v>
      </c>
      <c r="S59" s="103">
        <f>[1]Irrigated!O19</f>
        <v>24.96</v>
      </c>
      <c r="T59" s="104">
        <f>[1]Irrigated!P19</f>
        <v>24.17</v>
      </c>
      <c r="U59" s="105">
        <f>[1]Irrigated!Q19</f>
        <v>21.86</v>
      </c>
      <c r="V59" s="98">
        <f>[1]Irrigated!R19</f>
        <v>12.46</v>
      </c>
      <c r="W59" s="98">
        <f>[1]Irrigated!S19</f>
        <v>17.260000000000002</v>
      </c>
      <c r="X59" s="98">
        <v>23.82</v>
      </c>
      <c r="Y59" s="98">
        <v>33.32</v>
      </c>
      <c r="Z59" s="98">
        <v>44.08</v>
      </c>
      <c r="AA59" s="98">
        <v>55.22</v>
      </c>
      <c r="AB59" s="98">
        <v>66.92</v>
      </c>
      <c r="AC59" s="98">
        <v>75.88</v>
      </c>
      <c r="AD59" s="98">
        <v>80.84</v>
      </c>
      <c r="AE59" s="98">
        <v>82.63</v>
      </c>
      <c r="AF59" s="98">
        <v>80.58</v>
      </c>
      <c r="AG59" s="106">
        <v>78.39</v>
      </c>
      <c r="AH59" s="107">
        <v>72.010000000000005</v>
      </c>
      <c r="AI59" s="107">
        <v>62.23</v>
      </c>
      <c r="AJ59" s="107">
        <v>57.31</v>
      </c>
      <c r="AK59" s="90">
        <f t="shared" si="2"/>
        <v>145</v>
      </c>
      <c r="AL59" s="90">
        <f t="shared" si="3"/>
        <v>157</v>
      </c>
      <c r="AM59" s="108">
        <f t="shared" si="4"/>
        <v>165</v>
      </c>
      <c r="AN59" s="91">
        <f t="shared" si="5"/>
        <v>186</v>
      </c>
      <c r="AO59" s="108">
        <f t="shared" si="6"/>
        <v>164</v>
      </c>
      <c r="AP59" s="109">
        <f t="shared" si="7"/>
        <v>205</v>
      </c>
      <c r="AQ59" s="110">
        <f t="shared" si="11"/>
        <v>193</v>
      </c>
      <c r="AR59" s="110">
        <f t="shared" si="11"/>
        <v>193</v>
      </c>
      <c r="AS59" s="110">
        <f t="shared" si="14"/>
        <v>179</v>
      </c>
      <c r="AT59" s="110">
        <f t="shared" si="15"/>
        <v>174</v>
      </c>
      <c r="AU59" s="110">
        <f t="shared" si="12"/>
        <v>157</v>
      </c>
      <c r="AV59" s="109">
        <f t="shared" si="16"/>
        <v>85</v>
      </c>
      <c r="AW59" s="109">
        <f>ROUND(W59/VLOOKUP($C59,CapRate,13),0)</f>
        <v>116</v>
      </c>
      <c r="AX59" s="109">
        <f>ROUND(X59/VLOOKUP($C59,CapRate,14),0)</f>
        <v>160</v>
      </c>
      <c r="AY59" s="109">
        <f>ROUND(Y59/VLOOKUP($C59,CapRate,15),0)</f>
        <v>219</v>
      </c>
      <c r="AZ59" s="109">
        <f>ROUND(Z59/VLOOKUP($C59,CapRate,16),0)</f>
        <v>290</v>
      </c>
      <c r="BA59" s="109">
        <f>ROUND(AA59/VLOOKUP($C59,CapRate,17),0)</f>
        <v>357</v>
      </c>
      <c r="BB59" s="109">
        <f>ROUND(AB59/VLOOKUP($C59,CapRate,18),0)</f>
        <v>430</v>
      </c>
      <c r="BC59" s="109">
        <f>ROUND(AC59/VLOOKUP($C59,CapRate,19),0)</f>
        <v>487</v>
      </c>
      <c r="BD59" s="109">
        <f>ROUND(AD59/VLOOKUP($C59,CapRate,20),0)</f>
        <v>518</v>
      </c>
      <c r="BE59" s="109">
        <f>ROUND(AE59/VLOOKUP($C59,CapRate,21),0)</f>
        <v>530</v>
      </c>
      <c r="BF59" s="109">
        <f>ROUND(AF59/VLOOKUP($C59,CapRate,22),0)</f>
        <v>519</v>
      </c>
      <c r="BG59" s="109">
        <f>ROUND(AG59/VLOOKUP($C59,CapRate,23),0)</f>
        <v>506</v>
      </c>
      <c r="BH59" s="109">
        <f>ROUND(AH59/VLOOKUP($C59,CapRate,24),0)</f>
        <v>465</v>
      </c>
      <c r="BI59" s="109">
        <f>ROUND(AI59/VLOOKUP($C59,CapRate,25),5)</f>
        <v>401.74306000000001</v>
      </c>
      <c r="BJ59" s="109">
        <f>ROUND(AJ59/VLOOKUP($C59,CapRate,26),5)</f>
        <v>368.55304999999998</v>
      </c>
      <c r="BK59" s="113">
        <f t="shared" si="13"/>
        <v>-8.2615017668257962E-2</v>
      </c>
      <c r="BL59" s="114">
        <f>((F57*BK57)+(F58*BK58)+(F59*BK59))</f>
        <v>-0.18065278350788247</v>
      </c>
      <c r="BM59" s="115"/>
      <c r="BN59" s="115"/>
      <c r="BO59" s="115">
        <f>BK59</f>
        <v>-8.2615017668257962E-2</v>
      </c>
      <c r="BP59" s="116"/>
    </row>
    <row r="60" spans="1:69" ht="15.9" customHeight="1" thickTop="1">
      <c r="A60" s="54">
        <v>20</v>
      </c>
      <c r="B60" s="22"/>
      <c r="C60" s="8" t="s">
        <v>64</v>
      </c>
      <c r="D60" s="23" t="s">
        <v>64</v>
      </c>
      <c r="E60" s="8" t="s">
        <v>39</v>
      </c>
      <c r="F60" s="188">
        <f>[1]AcreSummary!M20</f>
        <v>0.160106876142254</v>
      </c>
      <c r="G60" s="25"/>
      <c r="H60" s="117"/>
      <c r="I60" s="57">
        <f>[1]Native!E18</f>
        <v>5.1100000000000003</v>
      </c>
      <c r="J60" s="58">
        <f>[1]Native!F18</f>
        <v>4.4000000000000004</v>
      </c>
      <c r="K60" s="80">
        <f>[1]Native!G18</f>
        <v>4.63</v>
      </c>
      <c r="L60" s="68">
        <f>[1]Native!H18</f>
        <v>4.5999999999999996</v>
      </c>
      <c r="M60" s="58">
        <f>[1]Native!I18</f>
        <v>4.6399999999999997</v>
      </c>
      <c r="N60" s="81">
        <f>[1]Native!J18</f>
        <v>4.5599999999999996</v>
      </c>
      <c r="O60" s="62">
        <v>4.53</v>
      </c>
      <c r="P60" s="81">
        <f>[1]Native!K18</f>
        <v>4.4800000000000004</v>
      </c>
      <c r="Q60" s="82">
        <f>[1]Native!L18</f>
        <v>4.28</v>
      </c>
      <c r="R60" s="83">
        <v>4.28</v>
      </c>
      <c r="S60" s="84">
        <f>[1]Native!M18</f>
        <v>4.1100000000000003</v>
      </c>
      <c r="T60" s="66">
        <f>[1]Native!N18</f>
        <v>3.9</v>
      </c>
      <c r="U60" s="67">
        <f>[1]Native!O18</f>
        <v>3.63</v>
      </c>
      <c r="V60" s="68">
        <f>[1]Native!P18</f>
        <v>-1.08</v>
      </c>
      <c r="W60" s="68">
        <f>[1]Native!Q18</f>
        <v>-1.43</v>
      </c>
      <c r="X60" s="68">
        <v>-1.22</v>
      </c>
      <c r="Y60" s="68">
        <v>-1.03</v>
      </c>
      <c r="Z60" s="68">
        <v>-0.05</v>
      </c>
      <c r="AA60" s="68">
        <v>1.54</v>
      </c>
      <c r="AB60" s="68">
        <v>3.18</v>
      </c>
      <c r="AC60" s="68">
        <v>4.87</v>
      </c>
      <c r="AD60" s="68">
        <v>5.8</v>
      </c>
      <c r="AE60" s="68">
        <v>6.15</v>
      </c>
      <c r="AF60" s="68">
        <v>5.91</v>
      </c>
      <c r="AG60" s="69">
        <v>5.7</v>
      </c>
      <c r="AH60" s="70">
        <v>5.3</v>
      </c>
      <c r="AI60" s="70">
        <v>4.6399999999999997</v>
      </c>
      <c r="AJ60" s="70">
        <v>4.24</v>
      </c>
      <c r="AK60" s="8">
        <f t="shared" si="2"/>
        <v>29</v>
      </c>
      <c r="AL60" s="8">
        <f t="shared" si="3"/>
        <v>30</v>
      </c>
      <c r="AM60" s="85">
        <f t="shared" si="4"/>
        <v>30</v>
      </c>
      <c r="AN60" s="23">
        <f t="shared" si="5"/>
        <v>31</v>
      </c>
      <c r="AO60" s="85">
        <f t="shared" si="6"/>
        <v>31</v>
      </c>
      <c r="AP60" s="72">
        <f t="shared" si="7"/>
        <v>31</v>
      </c>
      <c r="AQ60" s="71">
        <f t="shared" si="11"/>
        <v>29</v>
      </c>
      <c r="AR60" s="71">
        <f t="shared" si="11"/>
        <v>29</v>
      </c>
      <c r="AS60" s="71">
        <f t="shared" si="14"/>
        <v>28</v>
      </c>
      <c r="AT60" s="71">
        <f t="shared" si="15"/>
        <v>27</v>
      </c>
      <c r="AU60" s="71">
        <f t="shared" si="12"/>
        <v>25</v>
      </c>
      <c r="AV60" s="122">
        <f>IF(ROUND(V60/VLOOKUP($C60,CapRate,12),0)&gt;10,V60/VLOOKUP($C60,CapRate,12),10)</f>
        <v>10</v>
      </c>
      <c r="AW60" s="122">
        <f>IF(ROUND(W60/VLOOKUP($C60,CapRate,13),0)&gt;10,W60/VLOOKUP($C60,CapRate,13),10)</f>
        <v>10</v>
      </c>
      <c r="AX60" s="122">
        <f>IF(ROUND(X60/VLOOKUP($C60,CapRate,14),0)&gt;10,X60/VLOOKUP($C60,CapRate,14),10)</f>
        <v>10</v>
      </c>
      <c r="AY60" s="122">
        <f>IF(ROUND(Y60/VLOOKUP($C60,CapRate,15),0)&gt;10,Y60/VLOOKUP($C60,CapRate,15),10)</f>
        <v>10</v>
      </c>
      <c r="AZ60" s="122">
        <f>IF(ROUND(Z60/VLOOKUP($C60,CapRate,16),0)&gt;10,Z60/VLOOKUP($C60,CapRate,16),10)</f>
        <v>10</v>
      </c>
      <c r="BA60" s="122">
        <f>IF(ROUND(AA60/VLOOKUP($C60,CapRate,17),0)&gt;10,AA60/VLOOKUP($C60,CapRate,17),10)</f>
        <v>10</v>
      </c>
      <c r="BB60" s="122">
        <f>IF(ROUND(AB60/VLOOKUP($C60,CapRate,18),0)&gt;10,AB60/VLOOKUP($C60,CapRate,18),10)</f>
        <v>20.384615384615387</v>
      </c>
      <c r="BC60" s="122">
        <f>IF(ROUND(AC60/VLOOKUP($C60,CapRate,19),0)&gt;10,AC60/VLOOKUP($C60,CapRate,19),10)</f>
        <v>31.158029430582214</v>
      </c>
      <c r="BD60" s="122">
        <f>IF(ROUND(AD60/VLOOKUP($C60,CapRate,20),0)&gt;10,AD60/VLOOKUP($C60,CapRate,20),10)</f>
        <v>37.227214377406931</v>
      </c>
      <c r="BE60" s="122">
        <f>IF(ROUND(AE60/VLOOKUP($C60,CapRate,21),0)&gt;10,AE60/VLOOKUP($C60,CapRate,21),10)</f>
        <v>39.52442159383034</v>
      </c>
      <c r="BF60" s="122">
        <f>IF(ROUND(AF60/VLOOKUP($C60,CapRate,22),0)&gt;10,AF60/VLOOKUP($C60,CapRate,22),10)</f>
        <v>38.104448742746619</v>
      </c>
      <c r="BG60" s="122">
        <f>IF(ROUND(AG60/VLOOKUP($C60,CapRate,23),0)&gt;10,AG60/VLOOKUP($C60,CapRate,23),10)</f>
        <v>36.797934151065199</v>
      </c>
      <c r="BH60" s="122">
        <f>IF(ROUND(AH60/VLOOKUP($C60,CapRate,24),0)&gt;10,AH60/VLOOKUP($C60,CapRate,24),10)</f>
        <v>34.2156229825694</v>
      </c>
      <c r="BI60" s="122">
        <f>IF(ROUND(AI60/VLOOKUP($C60,CapRate,25),0)&gt;10,AI60/VLOOKUP($C60,CapRate,25),10)</f>
        <v>29.91618310767247</v>
      </c>
      <c r="BJ60" s="122">
        <f>IF(ROUND(AJ60/VLOOKUP($C60,CapRate,26),0)&gt;10,AJ60/VLOOKUP($C60,CapRate,26),10)</f>
        <v>27.372498386055518</v>
      </c>
      <c r="BK60" s="75">
        <f t="shared" si="13"/>
        <v>-8.5027047483359763E-2</v>
      </c>
      <c r="BL60" s="76"/>
      <c r="BM60" s="77">
        <f>BK60</f>
        <v>-8.5027047483359763E-2</v>
      </c>
      <c r="BN60" s="77"/>
      <c r="BO60" s="77"/>
      <c r="BP60" s="88"/>
    </row>
    <row r="61" spans="1:69" ht="15.9" customHeight="1">
      <c r="A61" s="54">
        <v>20</v>
      </c>
      <c r="B61" s="22"/>
      <c r="C61" s="8" t="s">
        <v>64</v>
      </c>
      <c r="D61" s="23"/>
      <c r="E61" s="8" t="s">
        <v>40</v>
      </c>
      <c r="F61" s="188">
        <f>[1]AcreSummary!J20</f>
        <v>0.70042161616470355</v>
      </c>
      <c r="G61" s="25"/>
      <c r="H61" s="117"/>
      <c r="I61" s="57">
        <f>[1]Dry!E20</f>
        <v>13.37</v>
      </c>
      <c r="J61" s="58">
        <f>[1]Dry!F20</f>
        <v>13.32</v>
      </c>
      <c r="K61" s="80">
        <f>[1]Dry!G20</f>
        <v>13.94</v>
      </c>
      <c r="L61" s="68">
        <f>[1]Dry!H20</f>
        <v>14.67</v>
      </c>
      <c r="M61" s="58">
        <f>[1]Dry!I20</f>
        <v>15.32</v>
      </c>
      <c r="N61" s="81">
        <f>[1]Dry!J20</f>
        <v>16.010000000000002</v>
      </c>
      <c r="O61" s="62">
        <v>15.99</v>
      </c>
      <c r="P61" s="81">
        <f>[1]Dry!K20</f>
        <v>15.86</v>
      </c>
      <c r="Q61" s="82">
        <f>[1]Dry!L20</f>
        <v>15.61</v>
      </c>
      <c r="R61" s="83">
        <f>Q61*0.95</f>
        <v>14.829499999999999</v>
      </c>
      <c r="S61" s="84">
        <f>[1]Dry!N20</f>
        <v>14.62</v>
      </c>
      <c r="T61" s="66">
        <f>[1]Dry!O20</f>
        <v>13.54</v>
      </c>
      <c r="U61" s="67">
        <f>[1]Dry!P20</f>
        <v>12.27</v>
      </c>
      <c r="V61" s="68">
        <f>[1]Dry!Q20</f>
        <v>8.8699999999999992</v>
      </c>
      <c r="W61" s="68">
        <f>[1]Dry!R20</f>
        <v>10.23</v>
      </c>
      <c r="X61" s="68">
        <f>[1]Dry!S20</f>
        <v>12.67</v>
      </c>
      <c r="Y61" s="68">
        <f>[1]Dry!T20</f>
        <v>16.21</v>
      </c>
      <c r="Z61" s="68">
        <v>19.100000000000001</v>
      </c>
      <c r="AA61" s="68">
        <v>21.74</v>
      </c>
      <c r="AB61" s="68">
        <v>23.48</v>
      </c>
      <c r="AC61" s="68">
        <v>24.66</v>
      </c>
      <c r="AD61" s="68">
        <v>25.03</v>
      </c>
      <c r="AE61" s="68">
        <v>24.62</v>
      </c>
      <c r="AF61" s="68">
        <v>23.65</v>
      </c>
      <c r="AG61" s="69">
        <v>21.51</v>
      </c>
      <c r="AH61" s="70">
        <v>19.260000000000002</v>
      </c>
      <c r="AI61" s="70">
        <v>15.62</v>
      </c>
      <c r="AJ61" s="70">
        <v>13.06</v>
      </c>
      <c r="AK61" s="8">
        <f t="shared" si="2"/>
        <v>87</v>
      </c>
      <c r="AL61" s="8">
        <f t="shared" si="3"/>
        <v>91</v>
      </c>
      <c r="AM61" s="85">
        <f t="shared" si="4"/>
        <v>95</v>
      </c>
      <c r="AN61" s="23">
        <f t="shared" si="5"/>
        <v>101</v>
      </c>
      <c r="AO61" s="85">
        <f t="shared" si="6"/>
        <v>109</v>
      </c>
      <c r="AP61" s="72">
        <f t="shared" si="7"/>
        <v>109</v>
      </c>
      <c r="AQ61" s="71">
        <f t="shared" si="11"/>
        <v>107</v>
      </c>
      <c r="AR61" s="71">
        <f t="shared" si="11"/>
        <v>102</v>
      </c>
      <c r="AS61" s="71">
        <f t="shared" si="14"/>
        <v>101</v>
      </c>
      <c r="AT61" s="71">
        <f t="shared" si="15"/>
        <v>93</v>
      </c>
      <c r="AU61" s="71">
        <f t="shared" si="12"/>
        <v>84</v>
      </c>
      <c r="AV61" s="72">
        <f t="shared" si="16"/>
        <v>58</v>
      </c>
      <c r="AW61" s="72">
        <f>ROUND(W61/VLOOKUP($C61,CapRate,13),0)</f>
        <v>67</v>
      </c>
      <c r="AX61" s="72">
        <f>ROUND(X61/VLOOKUP($C61,CapRate,14),0)</f>
        <v>82</v>
      </c>
      <c r="AY61" s="72">
        <f>ROUND(Y61/VLOOKUP($C61,CapRate,15),0)</f>
        <v>104</v>
      </c>
      <c r="AZ61" s="72">
        <f>ROUND(Z61/VLOOKUP($C61,CapRate,16),0)</f>
        <v>123</v>
      </c>
      <c r="BA61" s="72">
        <f>ROUND(AA61/VLOOKUP($C61,CapRate,17),0)</f>
        <v>139</v>
      </c>
      <c r="BB61" s="72">
        <f>ROUND(AB61/VLOOKUP($C61,CapRate,18),0)</f>
        <v>151</v>
      </c>
      <c r="BC61" s="72">
        <f>ROUND(AC61/VLOOKUP($C61,CapRate,19),0)</f>
        <v>158</v>
      </c>
      <c r="BD61" s="72">
        <f>ROUND(AD61/VLOOKUP($C61,CapRate,20),0)</f>
        <v>161</v>
      </c>
      <c r="BE61" s="72">
        <f>ROUND(AE61/VLOOKUP($C61,CapRate,21),0)</f>
        <v>158</v>
      </c>
      <c r="BF61" s="72">
        <f>ROUND(AF61/VLOOKUP($C61,CapRate,22),0)</f>
        <v>152</v>
      </c>
      <c r="BG61" s="72">
        <f>ROUND(AG61/VLOOKUP($C61,CapRate,23),0)</f>
        <v>139</v>
      </c>
      <c r="BH61" s="72">
        <f>ROUND(AH61/VLOOKUP($C61,CapRate,24),0)</f>
        <v>124</v>
      </c>
      <c r="BI61" s="72">
        <f>ROUND(AI61/VLOOKUP($C61,CapRate,25),0)</f>
        <v>101</v>
      </c>
      <c r="BJ61" s="72">
        <f>ROUND(AJ61/VLOOKUP($C61,CapRate,26),0)</f>
        <v>84</v>
      </c>
      <c r="BK61" s="87">
        <f t="shared" si="13"/>
        <v>-0.16831683168316836</v>
      </c>
      <c r="BL61" s="76"/>
      <c r="BM61" s="77"/>
      <c r="BN61" s="77">
        <f>BK61</f>
        <v>-0.16831683168316836</v>
      </c>
      <c r="BO61" s="77"/>
      <c r="BP61" s="88"/>
    </row>
    <row r="62" spans="1:69" ht="15.9" customHeight="1" thickBot="1">
      <c r="A62" s="54">
        <v>20</v>
      </c>
      <c r="B62" s="194"/>
      <c r="C62" s="90" t="s">
        <v>64</v>
      </c>
      <c r="D62" s="195"/>
      <c r="E62" s="132" t="s">
        <v>41</v>
      </c>
      <c r="F62" s="196">
        <f>[1]AcreSummary!K20</f>
        <v>0.13947150769304251</v>
      </c>
      <c r="G62" s="197">
        <f>[1]Irrigated!D20</f>
        <v>200</v>
      </c>
      <c r="H62" s="135">
        <f>[1]Irrigated!E20</f>
        <v>0.95</v>
      </c>
      <c r="I62" s="136"/>
      <c r="J62" s="137">
        <f>[1]Irrigated!H20</f>
        <v>17.62</v>
      </c>
      <c r="K62" s="138">
        <f>[1]Irrigated!I20</f>
        <v>19.579999999999998</v>
      </c>
      <c r="L62" s="139">
        <f>[1]Irrigated!J20</f>
        <v>21.13</v>
      </c>
      <c r="M62" s="137">
        <f>[1]Irrigated!K20</f>
        <v>23.6</v>
      </c>
      <c r="N62" s="140">
        <f>[1]Irrigated!L20</f>
        <v>25.26</v>
      </c>
      <c r="O62" s="141">
        <v>17.62</v>
      </c>
      <c r="P62" s="140">
        <f>[1]Irrigated!M20</f>
        <v>25.03</v>
      </c>
      <c r="Q62" s="142">
        <f>[1]Irrigated!N20</f>
        <v>23.98</v>
      </c>
      <c r="R62" s="143">
        <v>23.98</v>
      </c>
      <c r="S62" s="144">
        <f>[1]Irrigated!O20</f>
        <v>22.81</v>
      </c>
      <c r="T62" s="145">
        <f>[1]Irrigated!P20</f>
        <v>22.61</v>
      </c>
      <c r="U62" s="146">
        <f>[1]Irrigated!Q20</f>
        <v>20.75</v>
      </c>
      <c r="V62" s="139">
        <f>[1]Irrigated!R20</f>
        <v>13.31</v>
      </c>
      <c r="W62" s="139">
        <f>[1]Irrigated!S20</f>
        <v>18.16</v>
      </c>
      <c r="X62" s="139">
        <v>24.81</v>
      </c>
      <c r="Y62" s="139">
        <v>34.42</v>
      </c>
      <c r="Z62" s="139">
        <v>45.3</v>
      </c>
      <c r="AA62" s="139">
        <v>56.58</v>
      </c>
      <c r="AB62" s="139">
        <v>68.41</v>
      </c>
      <c r="AC62" s="139">
        <v>77.66</v>
      </c>
      <c r="AD62" s="139">
        <v>82.74</v>
      </c>
      <c r="AE62" s="139">
        <v>84.68</v>
      </c>
      <c r="AF62" s="139">
        <v>82.72</v>
      </c>
      <c r="AG62" s="147">
        <v>80.510000000000005</v>
      </c>
      <c r="AH62" s="198">
        <v>74.099999999999994</v>
      </c>
      <c r="AI62" s="149">
        <v>64.31</v>
      </c>
      <c r="AJ62" s="70">
        <v>59.39</v>
      </c>
      <c r="AK62" s="90">
        <f t="shared" si="2"/>
        <v>115</v>
      </c>
      <c r="AL62" s="90">
        <f t="shared" si="3"/>
        <v>127</v>
      </c>
      <c r="AM62" s="108">
        <f t="shared" si="4"/>
        <v>136</v>
      </c>
      <c r="AN62" s="91">
        <f t="shared" si="5"/>
        <v>155</v>
      </c>
      <c r="AO62" s="108">
        <f t="shared" si="6"/>
        <v>121</v>
      </c>
      <c r="AP62" s="109">
        <f t="shared" si="7"/>
        <v>173</v>
      </c>
      <c r="AQ62" s="110">
        <f t="shared" si="11"/>
        <v>165</v>
      </c>
      <c r="AR62" s="110">
        <f t="shared" si="11"/>
        <v>165</v>
      </c>
      <c r="AS62" s="110">
        <f t="shared" si="14"/>
        <v>157</v>
      </c>
      <c r="AT62" s="110">
        <f t="shared" si="15"/>
        <v>156</v>
      </c>
      <c r="AU62" s="110">
        <f t="shared" si="12"/>
        <v>143</v>
      </c>
      <c r="AV62" s="109">
        <f t="shared" si="16"/>
        <v>87</v>
      </c>
      <c r="AW62" s="109">
        <f>ROUND(W62/VLOOKUP($C62,CapRate,13),0)</f>
        <v>118</v>
      </c>
      <c r="AX62" s="109">
        <f>ROUND(X62/VLOOKUP($C62,CapRate,14),0)</f>
        <v>161</v>
      </c>
      <c r="AY62" s="109">
        <f>ROUND(Y62/VLOOKUP($C62,CapRate,15),0)</f>
        <v>221</v>
      </c>
      <c r="AZ62" s="109">
        <f>ROUND(Z62/VLOOKUP($C62,CapRate,16),0)</f>
        <v>292</v>
      </c>
      <c r="BA62" s="109">
        <f>ROUND(AA62/VLOOKUP($C62,CapRate,17),0)</f>
        <v>363</v>
      </c>
      <c r="BB62" s="109">
        <f>ROUND(AB62/VLOOKUP($C62,CapRate,18),0)</f>
        <v>439</v>
      </c>
      <c r="BC62" s="109">
        <f>ROUND(AC62/VLOOKUP($C62,CapRate,19),0)</f>
        <v>497</v>
      </c>
      <c r="BD62" s="109">
        <f>ROUND(AD62/VLOOKUP($C62,CapRate,20),0)</f>
        <v>531</v>
      </c>
      <c r="BE62" s="199">
        <f>ROUND(AE62/VLOOKUP($C62,CapRate,21),0)</f>
        <v>544</v>
      </c>
      <c r="BF62" s="199">
        <f>ROUND(AF62/VLOOKUP($C62,CapRate,22),0)</f>
        <v>533</v>
      </c>
      <c r="BG62" s="199">
        <f>ROUND(AG62/VLOOKUP($C62,CapRate,23),0)</f>
        <v>520</v>
      </c>
      <c r="BH62" s="199">
        <f>ROUND(AH62/VLOOKUP($C62,CapRate,24),0)</f>
        <v>478</v>
      </c>
      <c r="BI62" s="199">
        <f>ROUND(AI62/VLOOKUP($C62,CapRate,25),0)</f>
        <v>415</v>
      </c>
      <c r="BJ62" s="199">
        <f>ROUND(AJ62/VLOOKUP($C62,CapRate,26),0)</f>
        <v>383</v>
      </c>
      <c r="BK62" s="113">
        <f t="shared" si="13"/>
        <v>-7.7108433734939807E-2</v>
      </c>
      <c r="BL62" s="200">
        <f>((F60*BK60)+(F61*BK61)+(F62*BK62))</f>
        <v>-0.14226059174426814</v>
      </c>
      <c r="BM62" s="115"/>
      <c r="BN62" s="115"/>
      <c r="BO62" s="115">
        <f>BK62</f>
        <v>-7.7108433734939807E-2</v>
      </c>
      <c r="BP62" s="201"/>
    </row>
    <row r="63" spans="1:69" ht="15.9" customHeight="1" thickTop="1">
      <c r="A63" s="202" t="s">
        <v>65</v>
      </c>
      <c r="B63" s="22" t="s">
        <v>66</v>
      </c>
      <c r="C63" s="8" t="s">
        <v>67</v>
      </c>
      <c r="D63" s="23" t="s">
        <v>67</v>
      </c>
      <c r="E63" s="8" t="s">
        <v>39</v>
      </c>
      <c r="F63" s="188">
        <f>[1]AcreSummary!M21</f>
        <v>0.70682191575484732</v>
      </c>
      <c r="G63" s="25"/>
      <c r="H63" s="117"/>
      <c r="I63" s="57">
        <f>[1]Native!E19</f>
        <v>5.94</v>
      </c>
      <c r="J63" s="58">
        <f>[1]Native!F19</f>
        <v>5.54</v>
      </c>
      <c r="K63" s="59">
        <f>[1]Native!G19</f>
        <v>5.74</v>
      </c>
      <c r="L63" s="60">
        <f>[1]Native!H19</f>
        <v>5.8</v>
      </c>
      <c r="M63" s="61">
        <f>[1]Native!I19</f>
        <v>5.81</v>
      </c>
      <c r="N63" s="62">
        <f>[1]Native!J19</f>
        <v>5.77</v>
      </c>
      <c r="O63" s="62">
        <v>5.57</v>
      </c>
      <c r="P63" s="62">
        <f>[1]Native!K19</f>
        <v>5.59</v>
      </c>
      <c r="Q63" s="63">
        <f>[1]Native!L19</f>
        <v>5.42</v>
      </c>
      <c r="R63" s="64">
        <v>5.42</v>
      </c>
      <c r="S63" s="65">
        <f>[1]Native!M19</f>
        <v>5.43</v>
      </c>
      <c r="T63" s="66">
        <f>[1]Native!N19</f>
        <v>5.4</v>
      </c>
      <c r="U63" s="67">
        <f>[1]Native!O19</f>
        <v>5.22</v>
      </c>
      <c r="V63" s="68">
        <f>[1]Native!P19</f>
        <v>0.69</v>
      </c>
      <c r="W63" s="68">
        <f>[1]Native!Q19</f>
        <v>-0.95</v>
      </c>
      <c r="X63" s="68">
        <v>-1.6</v>
      </c>
      <c r="Y63" s="68">
        <v>-2.1800000000000002</v>
      </c>
      <c r="Z63" s="68">
        <v>-1.67</v>
      </c>
      <c r="AA63" s="68">
        <v>-0.98</v>
      </c>
      <c r="AB63" s="68">
        <v>-0.3</v>
      </c>
      <c r="AC63" s="68">
        <v>0.4</v>
      </c>
      <c r="AD63" s="68">
        <v>1.98</v>
      </c>
      <c r="AE63" s="68">
        <v>3.5</v>
      </c>
      <c r="AF63" s="68">
        <v>4.05</v>
      </c>
      <c r="AG63" s="69">
        <v>4.5</v>
      </c>
      <c r="AH63" s="70">
        <v>4.83</v>
      </c>
      <c r="AI63" s="203">
        <v>4.66</v>
      </c>
      <c r="AJ63" s="70">
        <v>4.67</v>
      </c>
      <c r="AK63" s="8">
        <f t="shared" si="2"/>
        <v>37</v>
      </c>
      <c r="AL63" s="8">
        <f t="shared" si="3"/>
        <v>38</v>
      </c>
      <c r="AM63" s="71">
        <f t="shared" si="4"/>
        <v>37</v>
      </c>
      <c r="AN63" s="72">
        <f t="shared" si="5"/>
        <v>38</v>
      </c>
      <c r="AO63" s="71">
        <f t="shared" si="6"/>
        <v>38</v>
      </c>
      <c r="AP63" s="72">
        <f t="shared" si="7"/>
        <v>38</v>
      </c>
      <c r="AQ63" s="71">
        <f t="shared" si="11"/>
        <v>36</v>
      </c>
      <c r="AR63" s="71">
        <f t="shared" si="11"/>
        <v>36</v>
      </c>
      <c r="AS63" s="71">
        <f t="shared" si="14"/>
        <v>36</v>
      </c>
      <c r="AT63" s="71">
        <f t="shared" si="15"/>
        <v>36</v>
      </c>
      <c r="AU63" s="71">
        <f t="shared" si="12"/>
        <v>34</v>
      </c>
      <c r="AV63" s="122">
        <f>IF(ROUND(V63/VLOOKUP($C63,CapRate,12),0)&gt;10,V63/VLOOKUP($C63,CapRate,12),10)</f>
        <v>10</v>
      </c>
      <c r="AW63" s="122">
        <f>IF(ROUND(W63/VLOOKUP($C63,CapRate,13),0)&gt;10,W63/VLOOKUP($C63,CapRate,13),10)</f>
        <v>10</v>
      </c>
      <c r="AX63" s="122">
        <f>IF(ROUND(X63/VLOOKUP($C63,CapRate,14),0)&gt;10,X63/VLOOKUP($C63,CapRate,14),10)</f>
        <v>10</v>
      </c>
      <c r="AY63" s="122">
        <f>IF(ROUND(Y63/VLOOKUP($C63,CapRate,15),0)&gt;10,Y63/VLOOKUP($C63,CapRate,15),10)</f>
        <v>10</v>
      </c>
      <c r="AZ63" s="122">
        <f>IF(ROUND(Z63/VLOOKUP($C63,CapRate,16),0)&gt;10,Z63/VLOOKUP($C63,CapRate,16),10)</f>
        <v>10</v>
      </c>
      <c r="BA63" s="122">
        <f>IF(ROUND(AA63/VLOOKUP($C63,CapRate,17),0)&gt;10,AA63/VLOOKUP($C63,CapRate,17),10)</f>
        <v>10</v>
      </c>
      <c r="BB63" s="122">
        <f>IF(ROUND(AB63/VLOOKUP($C63,CapRate,18),0)&gt;10,AB63/VLOOKUP($C63,CapRate,18),10)</f>
        <v>10</v>
      </c>
      <c r="BC63" s="122">
        <f>IF(ROUND(AC63/VLOOKUP($C63,CapRate,19),0)&gt;10,AC63/VLOOKUP($C63,CapRate,19),10)</f>
        <v>10</v>
      </c>
      <c r="BD63" s="122">
        <f>IF(ROUND(AD63/VLOOKUP($C63,CapRate,20),0)&gt;10,AD63/VLOOKUP($C63,CapRate,20),10)</f>
        <v>12.080536912751679</v>
      </c>
      <c r="BE63" s="72">
        <f>IF(ROUND(AE63/VLOOKUP($C63,CapRate,21),0)&gt;10,AE63/VLOOKUP($C63,CapRate,21),10)</f>
        <v>21.033653846153847</v>
      </c>
      <c r="BF63" s="72">
        <f>IF(ROUND(AF63/VLOOKUP($C63,CapRate,22),0)&gt;10,AF63/VLOOKUP($C63,CapRate,22),10)</f>
        <v>24.064171122994651</v>
      </c>
      <c r="BG63" s="72">
        <f>IF(ROUND(AG63/VLOOKUP($C63,CapRate,23),0)&gt;10,AG63/VLOOKUP($C63,CapRate,23),10)</f>
        <v>26.517383618149676</v>
      </c>
      <c r="BH63" s="72">
        <f>IF(ROUND(AH63/VLOOKUP($C63,CapRate,24),0)&gt;10,AH63/VLOOKUP($C63,CapRate,24),10)</f>
        <v>28.311840562719812</v>
      </c>
      <c r="BI63" s="72">
        <f>IF(ROUND(AI63/VLOOKUP($C63,CapRate,25),0)&gt;10,AI63/VLOOKUP($C63,CapRate,25),10)</f>
        <v>27.299355594610429</v>
      </c>
      <c r="BJ63" s="72">
        <f>IF(ROUND(AJ63/VLOOKUP($C63,CapRate,26),0)&gt;10,AJ63/VLOOKUP($C63,CapRate,26),10)</f>
        <v>27.584170112226815</v>
      </c>
      <c r="BK63" s="75">
        <f t="shared" si="13"/>
        <v>1.0433012480068005E-2</v>
      </c>
      <c r="BL63" s="76"/>
      <c r="BM63" s="77">
        <f>BK63</f>
        <v>1.0433012480068005E-2</v>
      </c>
      <c r="BN63" s="77"/>
      <c r="BO63" s="77"/>
      <c r="BP63" s="77"/>
      <c r="BQ63" s="77">
        <f>AVERAGE(BL65:BL104)</f>
        <v>-0.16340804118832969</v>
      </c>
    </row>
    <row r="64" spans="1:69" ht="15.9" customHeight="1">
      <c r="A64" s="8" t="s">
        <v>65</v>
      </c>
      <c r="B64" s="22"/>
      <c r="C64" s="8" t="s">
        <v>67</v>
      </c>
      <c r="D64" s="23"/>
      <c r="E64" s="8" t="s">
        <v>40</v>
      </c>
      <c r="F64" s="188">
        <f>[1]AcreSummary!J21</f>
        <v>0.28611222585429902</v>
      </c>
      <c r="G64" s="25"/>
      <c r="H64" s="117"/>
      <c r="I64" s="57">
        <f>[1]Dry!E21</f>
        <v>11.52</v>
      </c>
      <c r="J64" s="58">
        <f>[1]Dry!F21</f>
        <v>11.51</v>
      </c>
      <c r="K64" s="80">
        <f>[1]Dry!G21</f>
        <v>11.35</v>
      </c>
      <c r="L64" s="68">
        <f>[1]Dry!H21</f>
        <v>11.43</v>
      </c>
      <c r="M64" s="58">
        <f>[1]Dry!I21</f>
        <v>11.53</v>
      </c>
      <c r="N64" s="81">
        <f>[1]Dry!J21</f>
        <v>11.59</v>
      </c>
      <c r="O64" s="62">
        <v>11.32</v>
      </c>
      <c r="P64" s="81">
        <f>[1]Dry!K21</f>
        <v>12.11</v>
      </c>
      <c r="Q64" s="82">
        <f>[1]Dry!L21</f>
        <v>12.8</v>
      </c>
      <c r="R64" s="83">
        <f>Q64*0.95</f>
        <v>12.16</v>
      </c>
      <c r="S64" s="84">
        <f>[1]Dry!N21</f>
        <v>12.44</v>
      </c>
      <c r="T64" s="66">
        <f>[1]Dry!O21</f>
        <v>12.5</v>
      </c>
      <c r="U64" s="67">
        <f>[1]Dry!P21</f>
        <v>12.29</v>
      </c>
      <c r="V64" s="68">
        <f>[1]Dry!Q21</f>
        <v>10.69</v>
      </c>
      <c r="W64" s="68">
        <f>[1]Dry!R21</f>
        <v>12.11</v>
      </c>
      <c r="X64" s="68">
        <f>[1]Dry!S21</f>
        <v>13.1</v>
      </c>
      <c r="Y64" s="68">
        <f>[1]Dry!T21</f>
        <v>14.68</v>
      </c>
      <c r="Z64" s="68">
        <v>14.95</v>
      </c>
      <c r="AA64" s="68">
        <v>15.26</v>
      </c>
      <c r="AB64" s="68">
        <v>15.73</v>
      </c>
      <c r="AC64" s="68">
        <v>15.97</v>
      </c>
      <c r="AD64" s="68">
        <v>15.52</v>
      </c>
      <c r="AE64" s="68">
        <v>14.32</v>
      </c>
      <c r="AF64" s="68">
        <v>13.4</v>
      </c>
      <c r="AG64" s="69">
        <v>12.07</v>
      </c>
      <c r="AH64" s="70">
        <v>10.55</v>
      </c>
      <c r="AI64" s="70">
        <v>7.11</v>
      </c>
      <c r="AJ64" s="70">
        <v>4.7300000000000004</v>
      </c>
      <c r="AK64" s="8">
        <f t="shared" si="2"/>
        <v>76</v>
      </c>
      <c r="AL64" s="8">
        <f t="shared" si="3"/>
        <v>74</v>
      </c>
      <c r="AM64" s="85">
        <f t="shared" si="4"/>
        <v>74</v>
      </c>
      <c r="AN64" s="23">
        <f t="shared" si="5"/>
        <v>75</v>
      </c>
      <c r="AO64" s="85">
        <f t="shared" si="6"/>
        <v>76</v>
      </c>
      <c r="AP64" s="72">
        <f t="shared" si="7"/>
        <v>82</v>
      </c>
      <c r="AQ64" s="71">
        <f t="shared" si="11"/>
        <v>86</v>
      </c>
      <c r="AR64" s="71">
        <f t="shared" si="11"/>
        <v>82</v>
      </c>
      <c r="AS64" s="71">
        <f t="shared" si="14"/>
        <v>83</v>
      </c>
      <c r="AT64" s="71">
        <f t="shared" si="15"/>
        <v>83</v>
      </c>
      <c r="AU64" s="71">
        <f t="shared" si="12"/>
        <v>81</v>
      </c>
      <c r="AV64" s="72">
        <f t="shared" si="16"/>
        <v>69</v>
      </c>
      <c r="AW64" s="72">
        <f>ROUND(W64/VLOOKUP($C64,CapRate,13),0)</f>
        <v>78</v>
      </c>
      <c r="AX64" s="72">
        <f>ROUND(X64/VLOOKUP($C64,CapRate,14),0)</f>
        <v>85</v>
      </c>
      <c r="AY64" s="72">
        <f>ROUND(Y64/VLOOKUP($C64,CapRate,15),0)</f>
        <v>95</v>
      </c>
      <c r="AZ64" s="72">
        <f>ROUND(Z64/VLOOKUP($C64,CapRate,16),0)</f>
        <v>96</v>
      </c>
      <c r="BA64" s="72">
        <f>ROUND(AA64/VLOOKUP($C64,CapRate,17),0)</f>
        <v>98</v>
      </c>
      <c r="BB64" s="72">
        <f>ROUND(AB64/VLOOKUP($C64,CapRate,18),0)</f>
        <v>99</v>
      </c>
      <c r="BC64" s="72">
        <f>ROUND(AC64/VLOOKUP($C64,CapRate,19),0)</f>
        <v>99</v>
      </c>
      <c r="BD64" s="72">
        <f>ROUND(AD64/VLOOKUP($C64,CapRate,20),0)</f>
        <v>95</v>
      </c>
      <c r="BE64" s="72">
        <f>ROUND(AE64/VLOOKUP($C64,CapRate,21),0)</f>
        <v>86</v>
      </c>
      <c r="BF64" s="72">
        <f>ROUND(AF64/VLOOKUP($C64,CapRate,22),0)</f>
        <v>80</v>
      </c>
      <c r="BG64" s="72">
        <f>ROUND(AG64/VLOOKUP($C64,CapRate,23),0)</f>
        <v>71</v>
      </c>
      <c r="BH64" s="72">
        <f>ROUND(AH64/VLOOKUP($C64,CapRate,24),0)</f>
        <v>62</v>
      </c>
      <c r="BI64" s="72">
        <f>ROUND(AI64/VLOOKUP($C64,CapRate,25),0)</f>
        <v>42</v>
      </c>
      <c r="BJ64" s="72">
        <f>ROUND(AJ64/VLOOKUP($C64,CapRate,26),0)</f>
        <v>28</v>
      </c>
      <c r="BK64" s="87">
        <f t="shared" si="13"/>
        <v>-0.33333333333333337</v>
      </c>
      <c r="BL64" s="76"/>
      <c r="BM64" s="77"/>
      <c r="BN64" s="77">
        <f>BK64</f>
        <v>-0.33333333333333337</v>
      </c>
      <c r="BO64" s="77"/>
      <c r="BP64" s="77"/>
    </row>
    <row r="65" spans="1:68" ht="15.9" customHeight="1" thickBot="1">
      <c r="A65" s="90" t="s">
        <v>65</v>
      </c>
      <c r="B65" s="22"/>
      <c r="C65" s="90" t="s">
        <v>67</v>
      </c>
      <c r="D65" s="91"/>
      <c r="E65" s="90" t="s">
        <v>41</v>
      </c>
      <c r="F65" s="190">
        <f>[1]AcreSummary!K21</f>
        <v>7.0658583908537569E-3</v>
      </c>
      <c r="G65" s="191">
        <f>[1]Irrigated!D21</f>
        <v>200</v>
      </c>
      <c r="H65" s="94">
        <f>[1]Irrigated!E21</f>
        <v>0.64</v>
      </c>
      <c r="I65" s="95"/>
      <c r="J65" s="96">
        <f>[1]Irrigated!H21</f>
        <v>34.18</v>
      </c>
      <c r="K65" s="97">
        <f>[1]Irrigated!I21</f>
        <v>37.64</v>
      </c>
      <c r="L65" s="98">
        <f>[1]Irrigated!J21</f>
        <v>40.71</v>
      </c>
      <c r="M65" s="96">
        <f>[1]Irrigated!K21</f>
        <v>45.27</v>
      </c>
      <c r="N65" s="99">
        <f>[1]Irrigated!L21</f>
        <v>47.43</v>
      </c>
      <c r="O65" s="100">
        <v>40.86</v>
      </c>
      <c r="P65" s="99">
        <f>[1]Irrigated!M21</f>
        <v>47.76</v>
      </c>
      <c r="Q65" s="101">
        <f>[1]Irrigated!N21</f>
        <v>46.3</v>
      </c>
      <c r="R65" s="102">
        <v>46.3</v>
      </c>
      <c r="S65" s="103">
        <f>[1]Irrigated!O21</f>
        <v>44.97</v>
      </c>
      <c r="T65" s="104">
        <f>[1]Irrigated!P21</f>
        <v>44.78</v>
      </c>
      <c r="U65" s="105">
        <f>[1]Irrigated!Q21</f>
        <v>42.44</v>
      </c>
      <c r="V65" s="98">
        <f>[1]Irrigated!R21</f>
        <v>38.380000000000003</v>
      </c>
      <c r="W65" s="98">
        <f>[1]Irrigated!S21</f>
        <v>43.44</v>
      </c>
      <c r="X65" s="98">
        <v>48.78</v>
      </c>
      <c r="Y65" s="98">
        <v>56.82</v>
      </c>
      <c r="Z65" s="98">
        <v>63.99</v>
      </c>
      <c r="AA65" s="98">
        <v>72.03</v>
      </c>
      <c r="AB65" s="98">
        <v>81.52</v>
      </c>
      <c r="AC65" s="98">
        <v>88.63</v>
      </c>
      <c r="AD65" s="98">
        <v>91.85</v>
      </c>
      <c r="AE65" s="98">
        <v>92.49</v>
      </c>
      <c r="AF65" s="98">
        <v>91.66</v>
      </c>
      <c r="AG65" s="106">
        <v>90.39</v>
      </c>
      <c r="AH65" s="107">
        <v>84.67</v>
      </c>
      <c r="AI65" s="107">
        <v>73.16</v>
      </c>
      <c r="AJ65" s="107">
        <v>65.540000000000006</v>
      </c>
      <c r="AK65" s="90">
        <f t="shared" si="2"/>
        <v>226</v>
      </c>
      <c r="AL65" s="90">
        <f t="shared" si="3"/>
        <v>247</v>
      </c>
      <c r="AM65" s="108">
        <f t="shared" si="4"/>
        <v>262</v>
      </c>
      <c r="AN65" s="91">
        <f t="shared" si="5"/>
        <v>296</v>
      </c>
      <c r="AO65" s="108">
        <f t="shared" si="6"/>
        <v>276</v>
      </c>
      <c r="AP65" s="109">
        <f t="shared" si="7"/>
        <v>324</v>
      </c>
      <c r="AQ65" s="110">
        <f t="shared" si="11"/>
        <v>311</v>
      </c>
      <c r="AR65" s="110">
        <f t="shared" si="11"/>
        <v>311</v>
      </c>
      <c r="AS65" s="110">
        <f t="shared" si="14"/>
        <v>300</v>
      </c>
      <c r="AT65" s="110">
        <f t="shared" si="15"/>
        <v>297</v>
      </c>
      <c r="AU65" s="110">
        <f t="shared" si="12"/>
        <v>279</v>
      </c>
      <c r="AV65" s="109">
        <f t="shared" si="16"/>
        <v>248</v>
      </c>
      <c r="AW65" s="109">
        <f>ROUND(W65/VLOOKUP($C65,CapRate,13),0)</f>
        <v>280</v>
      </c>
      <c r="AX65" s="109">
        <f>ROUND(X65/VLOOKUP($C65,CapRate,14),0)</f>
        <v>315</v>
      </c>
      <c r="AY65" s="109">
        <f>ROUND(Y65/VLOOKUP($C65,CapRate,15),0)</f>
        <v>367</v>
      </c>
      <c r="AZ65" s="109">
        <f>ROUND(Z65/VLOOKUP($C65,CapRate,16),0)</f>
        <v>411</v>
      </c>
      <c r="BA65" s="109">
        <f>ROUND(AA65/VLOOKUP($C65,CapRate,17),0)</f>
        <v>461</v>
      </c>
      <c r="BB65" s="109">
        <f>ROUND(AB65/VLOOKUP($C65,CapRate,18),0)</f>
        <v>514</v>
      </c>
      <c r="BC65" s="109">
        <f>ROUND(AC65/VLOOKUP($C65,CapRate,19),0)</f>
        <v>549</v>
      </c>
      <c r="BD65" s="109">
        <f>ROUND(AD65/VLOOKUP($C65,CapRate,20),0)</f>
        <v>560</v>
      </c>
      <c r="BE65" s="109">
        <f>ROUND(AE65/VLOOKUP($C65,CapRate,21),0)</f>
        <v>556</v>
      </c>
      <c r="BF65" s="109">
        <f>ROUND(AF65/VLOOKUP($C65,CapRate,22),0)</f>
        <v>545</v>
      </c>
      <c r="BG65" s="109">
        <f>ROUND(AG65/VLOOKUP($C65,CapRate,23),0)</f>
        <v>533</v>
      </c>
      <c r="BH65" s="109">
        <f>ROUND(AH65/VLOOKUP($C65,CapRate,24),0)</f>
        <v>496</v>
      </c>
      <c r="BI65" s="109">
        <f>ROUND(AI65/VLOOKUP($C65,CapRate,25),0)</f>
        <v>429</v>
      </c>
      <c r="BJ65" s="109">
        <f>ROUND(AJ65/VLOOKUP($C65,CapRate,26),0)</f>
        <v>387</v>
      </c>
      <c r="BK65" s="113">
        <f t="shared" si="13"/>
        <v>-9.7902097902097918E-2</v>
      </c>
      <c r="BL65" s="114">
        <f>((F63*BK63)+(F64*BK64)+(F65*BK65))</f>
        <v>-8.8688222443120843E-2</v>
      </c>
      <c r="BM65" s="120"/>
      <c r="BN65" s="115"/>
      <c r="BO65" s="115">
        <f>BK65</f>
        <v>-9.7902097902097918E-2</v>
      </c>
      <c r="BP65" s="115"/>
    </row>
    <row r="66" spans="1:68" ht="15.9" customHeight="1" thickTop="1">
      <c r="A66" s="8" t="s">
        <v>65</v>
      </c>
      <c r="B66" s="22"/>
      <c r="C66" s="8" t="s">
        <v>68</v>
      </c>
      <c r="D66" s="23" t="s">
        <v>68</v>
      </c>
      <c r="E66" s="8" t="s">
        <v>39</v>
      </c>
      <c r="F66" s="188">
        <f>[1]AcreSummary!M22</f>
        <v>0.24240243834263273</v>
      </c>
      <c r="G66" s="25"/>
      <c r="H66" s="117"/>
      <c r="I66" s="57">
        <f>[1]Native!E20</f>
        <v>3.87</v>
      </c>
      <c r="J66" s="58">
        <f>[1]Native!F20</f>
        <v>3.85</v>
      </c>
      <c r="K66" s="80">
        <f>[1]Native!G20</f>
        <v>4.04</v>
      </c>
      <c r="L66" s="68">
        <f>[1]Native!H20</f>
        <v>4.13</v>
      </c>
      <c r="M66" s="58">
        <f>[1]Native!I20</f>
        <v>4.17</v>
      </c>
      <c r="N66" s="81">
        <f>[1]Native!J20</f>
        <v>4.1500000000000004</v>
      </c>
      <c r="O66" s="62">
        <v>4.16</v>
      </c>
      <c r="P66" s="81">
        <f>[1]Native!K20</f>
        <v>4.05</v>
      </c>
      <c r="Q66" s="82">
        <f>[1]Native!L20</f>
        <v>3.99</v>
      </c>
      <c r="R66" s="83">
        <v>3.99</v>
      </c>
      <c r="S66" s="84">
        <f>[1]Native!M20</f>
        <v>4.0599999999999996</v>
      </c>
      <c r="T66" s="66">
        <f>[1]Native!N20</f>
        <v>4.09</v>
      </c>
      <c r="U66" s="67">
        <f>[1]Native!O20</f>
        <v>3.95</v>
      </c>
      <c r="V66" s="68">
        <f>[1]Native!P20</f>
        <v>-1.21</v>
      </c>
      <c r="W66" s="68">
        <f>[1]Native!Q20</f>
        <v>-3.04</v>
      </c>
      <c r="X66" s="68">
        <v>-3.87</v>
      </c>
      <c r="Y66" s="68">
        <v>-4.6500000000000004</v>
      </c>
      <c r="Z66" s="68">
        <v>-4.28</v>
      </c>
      <c r="AA66" s="68">
        <v>-3.84</v>
      </c>
      <c r="AB66" s="68">
        <v>-3.22</v>
      </c>
      <c r="AC66" s="68">
        <v>-2.61</v>
      </c>
      <c r="AD66" s="68">
        <v>-1.1200000000000001</v>
      </c>
      <c r="AE66" s="68">
        <v>0.39</v>
      </c>
      <c r="AF66" s="68">
        <v>0.88</v>
      </c>
      <c r="AG66" s="69">
        <v>1.31</v>
      </c>
      <c r="AH66" s="70">
        <v>1.62</v>
      </c>
      <c r="AI66" s="70">
        <v>1.41</v>
      </c>
      <c r="AJ66" s="70">
        <v>1.37</v>
      </c>
      <c r="AK66" s="8">
        <f t="shared" si="2"/>
        <v>26</v>
      </c>
      <c r="AL66" s="8">
        <f t="shared" si="3"/>
        <v>27</v>
      </c>
      <c r="AM66" s="85">
        <f t="shared" si="4"/>
        <v>28</v>
      </c>
      <c r="AN66" s="23">
        <f t="shared" si="5"/>
        <v>29</v>
      </c>
      <c r="AO66" s="85">
        <f t="shared" si="6"/>
        <v>30</v>
      </c>
      <c r="AP66" s="72">
        <f t="shared" si="7"/>
        <v>29</v>
      </c>
      <c r="AQ66" s="71">
        <f t="shared" si="11"/>
        <v>29</v>
      </c>
      <c r="AR66" s="71">
        <f t="shared" si="11"/>
        <v>29</v>
      </c>
      <c r="AS66" s="71">
        <f t="shared" si="14"/>
        <v>29</v>
      </c>
      <c r="AT66" s="71">
        <f t="shared" si="15"/>
        <v>29</v>
      </c>
      <c r="AU66" s="71">
        <f t="shared" si="12"/>
        <v>28</v>
      </c>
      <c r="AV66" s="122">
        <f>IF(ROUND(V66/VLOOKUP($C66,CapRate,12),0)&gt;10,V66/VLOOKUP($C66,CapRate,12),10)</f>
        <v>10</v>
      </c>
      <c r="AW66" s="122">
        <f>IF(ROUND(W66/VLOOKUP($C66,CapRate,13),0)&gt;10,W66/VLOOKUP($C66,CapRate,13),10)</f>
        <v>10</v>
      </c>
      <c r="AX66" s="122">
        <f>IF(ROUND(X66/VLOOKUP($C66,CapRate,14),0)&gt;10,X66/VLOOKUP($C66,CapRate,14),10)</f>
        <v>10</v>
      </c>
      <c r="AY66" s="122">
        <f>IF(ROUND(Y66/VLOOKUP($C66,CapRate,15),0)&gt;10,Y66/VLOOKUP($C66,CapRate,15),10)</f>
        <v>10</v>
      </c>
      <c r="AZ66" s="122">
        <f>IF(ROUND(Z66/VLOOKUP($C66,CapRate,16),0)&gt;10,Z66/VLOOKUP($C66,CapRate,16),10)</f>
        <v>10</v>
      </c>
      <c r="BA66" s="122">
        <f>IF(ROUND(AA66/VLOOKUP($C66,CapRate,17),0)&gt;10,AA66/VLOOKUP($C66,CapRate,17),10)</f>
        <v>10</v>
      </c>
      <c r="BB66" s="122">
        <f>IF(ROUND(AB66/VLOOKUP($C66,CapRate,18),0)&gt;10,AB66/VLOOKUP($C66,CapRate,18),10)</f>
        <v>10</v>
      </c>
      <c r="BC66" s="122">
        <f>IF(ROUND(AC66/VLOOKUP($C66,CapRate,19),0)&gt;10,AC66/VLOOKUP($C66,CapRate,19),10)</f>
        <v>10</v>
      </c>
      <c r="BD66" s="122">
        <f>IF(ROUND(AD66/VLOOKUP($C66,CapRate,20),0)&gt;10,AD66/VLOOKUP($C66,CapRate,20),10)</f>
        <v>10</v>
      </c>
      <c r="BE66" s="122">
        <f>IF(ROUND(AE66/VLOOKUP($C66,CapRate,21),0)&gt;10,AE66/VLOOKUP($C66,CapRate,21),10)</f>
        <v>10</v>
      </c>
      <c r="BF66" s="122">
        <f>IF(ROUND(AF66/VLOOKUP($C66,CapRate,22),0)&gt;10,AF66/VLOOKUP($C66,CapRate,22),10)</f>
        <v>10</v>
      </c>
      <c r="BG66" s="122">
        <f>IF(ROUND(AG66/VLOOKUP($C66,CapRate,23),0)&gt;10,AG66/VLOOKUP($C66,CapRate,23),10)</f>
        <v>10</v>
      </c>
      <c r="BH66" s="122">
        <f>IF(ROUND(AH66/VLOOKUP($C66,CapRate,24),0)&gt;10,AH66/VLOOKUP($C66,CapRate,24),10)</f>
        <v>11.08829568788501</v>
      </c>
      <c r="BI66" s="122">
        <f>IF(ROUND(AI66/VLOOKUP($C66,CapRate,25),0)&gt;10,AI66/VLOOKUP($C66,CapRate,25),10)</f>
        <v>10</v>
      </c>
      <c r="BJ66" s="122">
        <f>IF(ROUND(AJ66/VLOOKUP($C66,CapRate,26),0)&gt;10,AJ66/VLOOKUP($C66,CapRate,26),10)</f>
        <v>10</v>
      </c>
      <c r="BK66" s="75">
        <f t="shared" si="13"/>
        <v>0</v>
      </c>
      <c r="BL66" s="76"/>
      <c r="BM66" s="77">
        <f>BK66</f>
        <v>0</v>
      </c>
      <c r="BN66" s="77"/>
      <c r="BO66" s="77"/>
      <c r="BP66" s="77"/>
    </row>
    <row r="67" spans="1:68" ht="15.9" customHeight="1">
      <c r="A67" s="8" t="s">
        <v>65</v>
      </c>
      <c r="B67" s="22"/>
      <c r="C67" s="8" t="s">
        <v>68</v>
      </c>
      <c r="D67" s="23"/>
      <c r="E67" s="8" t="s">
        <v>40</v>
      </c>
      <c r="F67" s="188">
        <f>[1]AcreSummary!J22</f>
        <v>0.5117911396592516</v>
      </c>
      <c r="G67" s="25"/>
      <c r="H67" s="117"/>
      <c r="I67" s="57">
        <f>[1]Dry!E22</f>
        <v>12.88</v>
      </c>
      <c r="J67" s="58">
        <f>[1]Dry!F22</f>
        <v>12.95</v>
      </c>
      <c r="K67" s="80">
        <f>[1]Dry!G22</f>
        <v>12.89</v>
      </c>
      <c r="L67" s="68">
        <f>[1]Dry!H22</f>
        <v>12.96</v>
      </c>
      <c r="M67" s="58">
        <f>[1]Dry!I22</f>
        <v>13.08</v>
      </c>
      <c r="N67" s="81">
        <f>[1]Dry!J22</f>
        <v>13.38</v>
      </c>
      <c r="O67" s="62">
        <v>13.44</v>
      </c>
      <c r="P67" s="81">
        <f>[1]Dry!K22</f>
        <v>13.63</v>
      </c>
      <c r="Q67" s="82">
        <f>[1]Dry!L22</f>
        <v>13.82</v>
      </c>
      <c r="R67" s="83">
        <f>Q67*0.95</f>
        <v>13.129</v>
      </c>
      <c r="S67" s="84">
        <f>[1]Dry!N22</f>
        <v>13.31</v>
      </c>
      <c r="T67" s="66">
        <f>[1]Dry!O22</f>
        <v>12.78</v>
      </c>
      <c r="U67" s="67">
        <f>[1]Dry!P22</f>
        <v>12.09</v>
      </c>
      <c r="V67" s="68">
        <f>[1]Dry!Q22</f>
        <v>8</v>
      </c>
      <c r="W67" s="68">
        <f>[1]Dry!R22</f>
        <v>9.17</v>
      </c>
      <c r="X67" s="68">
        <f>[1]Dry!S22</f>
        <v>11.52</v>
      </c>
      <c r="Y67" s="68">
        <f>[1]Dry!T22</f>
        <v>14.5</v>
      </c>
      <c r="Z67" s="68">
        <v>16.510000000000002</v>
      </c>
      <c r="AA67" s="68">
        <v>18.829999999999998</v>
      </c>
      <c r="AB67" s="68">
        <v>21.22</v>
      </c>
      <c r="AC67" s="68">
        <v>23.39</v>
      </c>
      <c r="AD67" s="68">
        <v>24.24</v>
      </c>
      <c r="AE67" s="68">
        <v>23.61</v>
      </c>
      <c r="AF67" s="68">
        <v>22.05</v>
      </c>
      <c r="AG67" s="69">
        <v>19.940000000000001</v>
      </c>
      <c r="AH67" s="70">
        <v>17.25</v>
      </c>
      <c r="AI67" s="70">
        <v>12.51</v>
      </c>
      <c r="AJ67" s="70">
        <v>9.67</v>
      </c>
      <c r="AK67" s="8">
        <f t="shared" si="2"/>
        <v>88</v>
      </c>
      <c r="AL67" s="8">
        <f t="shared" si="3"/>
        <v>87</v>
      </c>
      <c r="AM67" s="85">
        <f t="shared" si="4"/>
        <v>87</v>
      </c>
      <c r="AN67" s="23">
        <f t="shared" si="5"/>
        <v>90</v>
      </c>
      <c r="AO67" s="85">
        <f t="shared" si="6"/>
        <v>96</v>
      </c>
      <c r="AP67" s="72">
        <f t="shared" si="7"/>
        <v>98</v>
      </c>
      <c r="AQ67" s="71">
        <f t="shared" si="11"/>
        <v>99</v>
      </c>
      <c r="AR67" s="71">
        <f t="shared" si="11"/>
        <v>94</v>
      </c>
      <c r="AS67" s="71">
        <f t="shared" si="14"/>
        <v>96</v>
      </c>
      <c r="AT67" s="71">
        <f t="shared" si="15"/>
        <v>92</v>
      </c>
      <c r="AU67" s="71">
        <f t="shared" si="12"/>
        <v>87</v>
      </c>
      <c r="AV67" s="72">
        <f t="shared" si="16"/>
        <v>57</v>
      </c>
      <c r="AW67" s="72">
        <f>ROUND(W67/VLOOKUP($C67,CapRate,13),0)</f>
        <v>65</v>
      </c>
      <c r="AX67" s="72">
        <f>ROUND(X67/VLOOKUP($C67,CapRate,14),0)</f>
        <v>82</v>
      </c>
      <c r="AY67" s="72">
        <f>ROUND(Y67/VLOOKUP($C67,CapRate,15),0)</f>
        <v>103</v>
      </c>
      <c r="AZ67" s="72">
        <f>ROUND(Z67/VLOOKUP($C67,CapRate,16),0)</f>
        <v>117</v>
      </c>
      <c r="BA67" s="72">
        <f>ROUND(AA67/VLOOKUP($C67,CapRate,17),0)</f>
        <v>133</v>
      </c>
      <c r="BB67" s="72">
        <f>ROUND(AB67/VLOOKUP($C67,CapRate,18),0)</f>
        <v>149</v>
      </c>
      <c r="BC67" s="72">
        <f>ROUND(AC67/VLOOKUP($C67,CapRate,19),0)</f>
        <v>163</v>
      </c>
      <c r="BD67" s="72">
        <f>ROUND(AD67/VLOOKUP($C67,CapRate,20),0)</f>
        <v>169</v>
      </c>
      <c r="BE67" s="72">
        <f>ROUND(AE67/VLOOKUP($C67,CapRate,21),0)</f>
        <v>164</v>
      </c>
      <c r="BF67" s="72">
        <f>ROUND(AF67/VLOOKUP($C67,CapRate,22),0)</f>
        <v>152</v>
      </c>
      <c r="BG67" s="72">
        <f>ROUND(AG67/VLOOKUP($C67,CapRate,23),0)</f>
        <v>137</v>
      </c>
      <c r="BH67" s="72">
        <f>ROUND(AH67/VLOOKUP($C67,CapRate,24),0)</f>
        <v>118</v>
      </c>
      <c r="BI67" s="72">
        <f>ROUND(AI67/VLOOKUP($C67,CapRate,25),0)</f>
        <v>85</v>
      </c>
      <c r="BJ67" s="72">
        <f>ROUND(AJ67/VLOOKUP($C67,CapRate,26),0)</f>
        <v>66</v>
      </c>
      <c r="BK67" s="87">
        <f t="shared" si="13"/>
        <v>-0.22352941176470587</v>
      </c>
      <c r="BL67" s="76"/>
      <c r="BM67" s="77"/>
      <c r="BN67" s="77">
        <f>BK67</f>
        <v>-0.22352941176470587</v>
      </c>
      <c r="BO67" s="77"/>
      <c r="BP67" s="77"/>
    </row>
    <row r="68" spans="1:68" ht="15.9" customHeight="1" thickBot="1">
      <c r="A68" s="90" t="s">
        <v>65</v>
      </c>
      <c r="B68" s="22"/>
      <c r="C68" s="90" t="s">
        <v>68</v>
      </c>
      <c r="D68" s="91"/>
      <c r="E68" s="90" t="s">
        <v>41</v>
      </c>
      <c r="F68" s="190">
        <f>[1]AcreSummary!K22</f>
        <v>0.24580642199811567</v>
      </c>
      <c r="G68" s="191">
        <f>[1]Irrigated!D22</f>
        <v>300</v>
      </c>
      <c r="H68" s="94">
        <f>[1]Irrigated!E22</f>
        <v>0.36</v>
      </c>
      <c r="I68" s="95"/>
      <c r="J68" s="96">
        <f>[1]Irrigated!H22</f>
        <v>16.71</v>
      </c>
      <c r="K68" s="97">
        <f>[1]Irrigated!I22</f>
        <v>17.68</v>
      </c>
      <c r="L68" s="98">
        <f>[1]Irrigated!J22</f>
        <v>18.38</v>
      </c>
      <c r="M68" s="96">
        <f>[1]Irrigated!K22</f>
        <v>20.420000000000002</v>
      </c>
      <c r="N68" s="99">
        <f>[1]Irrigated!L22</f>
        <v>20.6</v>
      </c>
      <c r="O68" s="100">
        <v>25.81</v>
      </c>
      <c r="P68" s="99">
        <f>[1]Irrigated!M22</f>
        <v>18.73</v>
      </c>
      <c r="Q68" s="101">
        <f>[1]Irrigated!N22</f>
        <v>17.21</v>
      </c>
      <c r="R68" s="102">
        <v>17.21</v>
      </c>
      <c r="S68" s="103">
        <f>[1]Irrigated!O22</f>
        <v>16.21</v>
      </c>
      <c r="T68" s="104">
        <f>[1]Irrigated!P22</f>
        <v>16.39</v>
      </c>
      <c r="U68" s="105">
        <f>[1]Irrigated!Q22</f>
        <v>16.559999999999999</v>
      </c>
      <c r="V68" s="98">
        <f>[1]Irrigated!R22</f>
        <v>21.03</v>
      </c>
      <c r="W68" s="98">
        <f>[1]Irrigated!S22</f>
        <v>26.08</v>
      </c>
      <c r="X68" s="98">
        <v>31.15</v>
      </c>
      <c r="Y68" s="98">
        <v>38.81</v>
      </c>
      <c r="Z68" s="98">
        <v>45.76</v>
      </c>
      <c r="AA68" s="98">
        <v>52.55</v>
      </c>
      <c r="AB68" s="98">
        <v>61.3</v>
      </c>
      <c r="AC68" s="98">
        <v>67.13</v>
      </c>
      <c r="AD68" s="98">
        <v>68.569999999999993</v>
      </c>
      <c r="AE68" s="98">
        <v>67.61</v>
      </c>
      <c r="AF68" s="98">
        <v>65.88</v>
      </c>
      <c r="AG68" s="106">
        <v>63.62</v>
      </c>
      <c r="AH68" s="107">
        <v>57.23</v>
      </c>
      <c r="AI68" s="107">
        <v>44.8</v>
      </c>
      <c r="AJ68" s="107">
        <v>36.22</v>
      </c>
      <c r="AK68" s="90">
        <f t="shared" si="2"/>
        <v>113</v>
      </c>
      <c r="AL68" s="90">
        <f t="shared" si="3"/>
        <v>120</v>
      </c>
      <c r="AM68" s="108">
        <f t="shared" si="4"/>
        <v>123</v>
      </c>
      <c r="AN68" s="91">
        <f t="shared" si="5"/>
        <v>140</v>
      </c>
      <c r="AO68" s="108">
        <f t="shared" si="6"/>
        <v>184</v>
      </c>
      <c r="AP68" s="109">
        <f t="shared" si="7"/>
        <v>135</v>
      </c>
      <c r="AQ68" s="110">
        <f t="shared" si="11"/>
        <v>124</v>
      </c>
      <c r="AR68" s="110">
        <f t="shared" si="11"/>
        <v>124</v>
      </c>
      <c r="AS68" s="110">
        <f t="shared" si="14"/>
        <v>116</v>
      </c>
      <c r="AT68" s="110">
        <f t="shared" si="15"/>
        <v>117</v>
      </c>
      <c r="AU68" s="110">
        <f t="shared" si="12"/>
        <v>119</v>
      </c>
      <c r="AV68" s="109">
        <f t="shared" si="16"/>
        <v>150</v>
      </c>
      <c r="AW68" s="109">
        <f>ROUND(W68/VLOOKUP($C68,CapRate,13),0)</f>
        <v>185</v>
      </c>
      <c r="AX68" s="109">
        <f>ROUND(X68/VLOOKUP($C68,CapRate,14),0)</f>
        <v>221</v>
      </c>
      <c r="AY68" s="109">
        <f>ROUND(Y68/VLOOKUP($C68,CapRate,15),0)</f>
        <v>275</v>
      </c>
      <c r="AZ68" s="109">
        <f>ROUND(Z68/VLOOKUP($C68,CapRate,16),0)</f>
        <v>324</v>
      </c>
      <c r="BA68" s="109">
        <f>ROUND(AA68/VLOOKUP($C68,CapRate,17),0)</f>
        <v>371</v>
      </c>
      <c r="BB68" s="109">
        <f>ROUND(AB68/VLOOKUP($C68,CapRate,18),0)</f>
        <v>430</v>
      </c>
      <c r="BC68" s="109">
        <f>ROUND(AC68/VLOOKUP($C68,CapRate,19),0)</f>
        <v>469</v>
      </c>
      <c r="BD68" s="109">
        <f>ROUND(AD68/VLOOKUP($C68,CapRate,20),0)</f>
        <v>477</v>
      </c>
      <c r="BE68" s="109">
        <f>ROUND(AE68/VLOOKUP($C68,CapRate,21),0)</f>
        <v>469</v>
      </c>
      <c r="BF68" s="109">
        <f>ROUND(AF68/VLOOKUP($C68,CapRate,22),0)</f>
        <v>455</v>
      </c>
      <c r="BG68" s="109">
        <f>ROUND(AG68/VLOOKUP($C68,CapRate,23),0)</f>
        <v>438</v>
      </c>
      <c r="BH68" s="109">
        <f>ROUND(AH68/VLOOKUP($C68,CapRate,24),0)</f>
        <v>392</v>
      </c>
      <c r="BI68" s="109">
        <f>ROUND(AI68/VLOOKUP($C68,CapRate,25),0)</f>
        <v>305</v>
      </c>
      <c r="BJ68" s="109">
        <f>ROUND(AJ68/VLOOKUP($C68,CapRate,26),0)</f>
        <v>246</v>
      </c>
      <c r="BK68" s="113">
        <f t="shared" si="13"/>
        <v>-0.19344262295081971</v>
      </c>
      <c r="BL68" s="114">
        <f>((F66*BK66)+(F67*BK67)+(F68*BK68))</f>
        <v>-0.1619498114038925</v>
      </c>
      <c r="BM68" s="120"/>
      <c r="BN68" s="115"/>
      <c r="BO68" s="115">
        <f>BK68</f>
        <v>-0.19344262295081971</v>
      </c>
      <c r="BP68" s="115"/>
    </row>
    <row r="69" spans="1:68" ht="15.9" customHeight="1" thickTop="1">
      <c r="A69" s="8" t="s">
        <v>65</v>
      </c>
      <c r="B69" s="22"/>
      <c r="C69" s="8" t="s">
        <v>69</v>
      </c>
      <c r="D69" s="23" t="s">
        <v>69</v>
      </c>
      <c r="E69" s="8" t="s">
        <v>39</v>
      </c>
      <c r="F69" s="188">
        <f>[1]AcreSummary!M23</f>
        <v>0.22012120134065022</v>
      </c>
      <c r="G69" s="25"/>
      <c r="H69" s="117"/>
      <c r="I69" s="57">
        <f>[1]Native!E21</f>
        <v>5.65</v>
      </c>
      <c r="J69" s="58">
        <f>[1]Native!F21</f>
        <v>5.68</v>
      </c>
      <c r="K69" s="80">
        <f>[1]Native!G21</f>
        <v>5.84</v>
      </c>
      <c r="L69" s="68">
        <f>[1]Native!H21</f>
        <v>5.88</v>
      </c>
      <c r="M69" s="58">
        <f>[1]Native!I21</f>
        <v>5.87</v>
      </c>
      <c r="N69" s="81">
        <f>[1]Native!J21</f>
        <v>5.81</v>
      </c>
      <c r="O69" s="62">
        <v>5.83</v>
      </c>
      <c r="P69" s="81">
        <f>[1]Native!K21</f>
        <v>5.61</v>
      </c>
      <c r="Q69" s="82">
        <f>[1]Native!L21</f>
        <v>5.42</v>
      </c>
      <c r="R69" s="83">
        <v>5.42</v>
      </c>
      <c r="S69" s="84">
        <f>[1]Native!M21</f>
        <v>5.41</v>
      </c>
      <c r="T69" s="66">
        <f>[1]Native!N21</f>
        <v>5.36</v>
      </c>
      <c r="U69" s="67">
        <f>[1]Native!O21</f>
        <v>5.2</v>
      </c>
      <c r="V69" s="68">
        <f>[1]Native!P21</f>
        <v>0.6</v>
      </c>
      <c r="W69" s="68">
        <f>[1]Native!Q21</f>
        <v>-1.07</v>
      </c>
      <c r="X69" s="68">
        <v>-1.76</v>
      </c>
      <c r="Y69" s="68">
        <v>-2.38</v>
      </c>
      <c r="Z69" s="68">
        <v>-1.91</v>
      </c>
      <c r="AA69" s="68">
        <v>-1.26</v>
      </c>
      <c r="AB69" s="68">
        <v>-0.59</v>
      </c>
      <c r="AC69" s="68">
        <v>0.1</v>
      </c>
      <c r="AD69" s="68">
        <v>1.66</v>
      </c>
      <c r="AE69" s="68">
        <v>3.18</v>
      </c>
      <c r="AF69" s="68">
        <v>3.85</v>
      </c>
      <c r="AG69" s="69">
        <v>4.3</v>
      </c>
      <c r="AH69" s="70">
        <v>4.62</v>
      </c>
      <c r="AI69" s="70">
        <v>4.45</v>
      </c>
      <c r="AJ69" s="70">
        <v>4.4800000000000004</v>
      </c>
      <c r="AK69" s="8">
        <f>ROUND(J69/VLOOKUP($C69,CapRate,2),0)</f>
        <v>37</v>
      </c>
      <c r="AL69" s="8">
        <f t="shared" si="3"/>
        <v>38</v>
      </c>
      <c r="AM69" s="85">
        <f t="shared" si="4"/>
        <v>38</v>
      </c>
      <c r="AN69" s="23">
        <f t="shared" si="5"/>
        <v>38</v>
      </c>
      <c r="AO69" s="85">
        <f t="shared" si="6"/>
        <v>39</v>
      </c>
      <c r="AP69" s="72">
        <f t="shared" si="7"/>
        <v>38</v>
      </c>
      <c r="AQ69" s="71">
        <f t="shared" si="11"/>
        <v>37</v>
      </c>
      <c r="AR69" s="71">
        <f t="shared" si="11"/>
        <v>37</v>
      </c>
      <c r="AS69" s="71">
        <f t="shared" si="14"/>
        <v>36</v>
      </c>
      <c r="AT69" s="71">
        <f t="shared" si="15"/>
        <v>36</v>
      </c>
      <c r="AU69" s="71">
        <f t="shared" si="12"/>
        <v>35</v>
      </c>
      <c r="AV69" s="122">
        <f>IF(ROUND(V69/VLOOKUP($C69,CapRate,12),0)&gt;10,V69/VLOOKUP($C69,CapRate,12),10)</f>
        <v>10</v>
      </c>
      <c r="AW69" s="122">
        <f>IF(ROUND(W69/VLOOKUP($C69,CapRate,13),0)&gt;10,W69/VLOOKUP($C69,CapRate,13),10)</f>
        <v>10</v>
      </c>
      <c r="AX69" s="122">
        <f>IF(ROUND(X69/VLOOKUP($C69,CapRate,14),0)&gt;10,X69/VLOOKUP($C69,CapRate,14),10)</f>
        <v>10</v>
      </c>
      <c r="AY69" s="122">
        <f>IF(ROUND(Y69/VLOOKUP($C69,CapRate,15),0)&gt;10,Y69/VLOOKUP($C69,CapRate,15),10)</f>
        <v>10</v>
      </c>
      <c r="AZ69" s="122">
        <f>IF(ROUND(Z69/VLOOKUP($C69,CapRate,16),0)&gt;10,Z69/VLOOKUP($C69,CapRate,16),10)</f>
        <v>10</v>
      </c>
      <c r="BA69" s="122">
        <f>IF(ROUND(AA69/VLOOKUP($C69,CapRate,17),0)&gt;10,AA69/VLOOKUP($C69,CapRate,17),10)</f>
        <v>10</v>
      </c>
      <c r="BB69" s="122">
        <f>IF(ROUND(AB69/VLOOKUP($C69,CapRate,18),0)&gt;10,AB69/VLOOKUP($C69,CapRate,18),10)</f>
        <v>10</v>
      </c>
      <c r="BC69" s="122">
        <f>IF(ROUND(AC69/VLOOKUP($C69,CapRate,19),0)&gt;10,AC69/VLOOKUP($C69,CapRate,19),10)</f>
        <v>10</v>
      </c>
      <c r="BD69" s="122">
        <f>IF(ROUND(AD69/VLOOKUP($C69,CapRate,20),0)&gt;10,AD69/VLOOKUP($C69,CapRate,20),10)</f>
        <v>10.553083280356008</v>
      </c>
      <c r="BE69" s="122">
        <f>IF(ROUND(AE69/VLOOKUP($C69,CapRate,21),0)&gt;10,AE69/VLOOKUP($C69,CapRate,21),10)</f>
        <v>20.19047619047619</v>
      </c>
      <c r="BF69" s="122">
        <f>IF(ROUND(AF69/VLOOKUP($C69,CapRate,22),0)&gt;10,AF69/VLOOKUP($C69,CapRate,22),10)</f>
        <v>24.413443246670894</v>
      </c>
      <c r="BG69" s="122">
        <f>IF(ROUND(AG69/VLOOKUP($C69,CapRate,23),0)&gt;10,AG69/VLOOKUP($C69,CapRate,23),10)</f>
        <v>27.249683143219265</v>
      </c>
      <c r="BH69" s="122">
        <f>IF(ROUND(AH69/VLOOKUP($C69,CapRate,24),0)&gt;10,AH69/VLOOKUP($C69,CapRate,24),10)</f>
        <v>29.259024699176692</v>
      </c>
      <c r="BI69" s="122">
        <v>28</v>
      </c>
      <c r="BJ69" s="122">
        <v>28</v>
      </c>
      <c r="BK69" s="75">
        <f t="shared" si="13"/>
        <v>0</v>
      </c>
      <c r="BL69" s="76"/>
      <c r="BM69" s="127">
        <f>BK69</f>
        <v>0</v>
      </c>
      <c r="BN69" s="77"/>
      <c r="BO69" s="77"/>
      <c r="BP69" s="77"/>
    </row>
    <row r="70" spans="1:68" ht="15.9" customHeight="1">
      <c r="A70" s="8" t="s">
        <v>65</v>
      </c>
      <c r="B70" s="22"/>
      <c r="C70" s="8" t="s">
        <v>69</v>
      </c>
      <c r="D70" s="23"/>
      <c r="E70" s="8" t="s">
        <v>40</v>
      </c>
      <c r="F70" s="188">
        <f>[1]AcreSummary!J23</f>
        <v>0.65218070727001676</v>
      </c>
      <c r="G70" s="25"/>
      <c r="H70" s="117"/>
      <c r="I70" s="57">
        <f>[1]Dry!E23</f>
        <v>12.2</v>
      </c>
      <c r="J70" s="58">
        <f>[1]Dry!F23</f>
        <v>12.21</v>
      </c>
      <c r="K70" s="80">
        <f>[1]Dry!G23</f>
        <v>12.04</v>
      </c>
      <c r="L70" s="68">
        <f>[1]Dry!H23</f>
        <v>12.02</v>
      </c>
      <c r="M70" s="58">
        <f>[1]Dry!I23</f>
        <v>12.08</v>
      </c>
      <c r="N70" s="81">
        <f>[1]Dry!J23</f>
        <v>12.44</v>
      </c>
      <c r="O70" s="62">
        <v>12.49</v>
      </c>
      <c r="P70" s="81">
        <f>[1]Dry!K23</f>
        <v>12.94</v>
      </c>
      <c r="Q70" s="82">
        <f>[1]Dry!L23</f>
        <v>13.29</v>
      </c>
      <c r="R70" s="83">
        <f>Q70*0.95</f>
        <v>12.625499999999999</v>
      </c>
      <c r="S70" s="84">
        <f>[1]Dry!N23</f>
        <v>12.96</v>
      </c>
      <c r="T70" s="66">
        <f>[1]Dry!O23</f>
        <v>12.73</v>
      </c>
      <c r="U70" s="67">
        <f>[1]Dry!P23</f>
        <v>12.35</v>
      </c>
      <c r="V70" s="68">
        <f>[1]Dry!Q23</f>
        <v>9.3000000000000007</v>
      </c>
      <c r="W70" s="68">
        <f>[1]Dry!R23</f>
        <v>10.9</v>
      </c>
      <c r="X70" s="68">
        <f>[1]Dry!S23</f>
        <v>13.07</v>
      </c>
      <c r="Y70" s="68">
        <f>[1]Dry!T23</f>
        <v>16.36</v>
      </c>
      <c r="Z70" s="68">
        <v>19.04</v>
      </c>
      <c r="AA70" s="68">
        <v>22.16</v>
      </c>
      <c r="AB70" s="68">
        <v>25.35</v>
      </c>
      <c r="AC70" s="68">
        <v>28.1</v>
      </c>
      <c r="AD70" s="68">
        <v>29.9</v>
      </c>
      <c r="AE70" s="68">
        <v>30.2</v>
      </c>
      <c r="AF70" s="68">
        <v>29.99</v>
      </c>
      <c r="AG70" s="69">
        <v>28.62</v>
      </c>
      <c r="AH70" s="70">
        <v>26.35</v>
      </c>
      <c r="AI70" s="70">
        <v>21.89</v>
      </c>
      <c r="AJ70" s="70">
        <v>19.420000000000002</v>
      </c>
      <c r="AK70" s="8">
        <f t="shared" si="2"/>
        <v>79</v>
      </c>
      <c r="AL70" s="8">
        <f t="shared" si="3"/>
        <v>78</v>
      </c>
      <c r="AM70" s="85">
        <f t="shared" si="4"/>
        <v>77</v>
      </c>
      <c r="AN70" s="23">
        <f t="shared" si="5"/>
        <v>79</v>
      </c>
      <c r="AO70" s="85">
        <f t="shared" si="6"/>
        <v>85</v>
      </c>
      <c r="AP70" s="72">
        <f t="shared" si="7"/>
        <v>88</v>
      </c>
      <c r="AQ70" s="71">
        <f t="shared" si="11"/>
        <v>90</v>
      </c>
      <c r="AR70" s="71">
        <f t="shared" si="11"/>
        <v>85</v>
      </c>
      <c r="AS70" s="71">
        <f t="shared" si="14"/>
        <v>87</v>
      </c>
      <c r="AT70" s="71">
        <f t="shared" si="15"/>
        <v>85</v>
      </c>
      <c r="AU70" s="71">
        <f t="shared" si="12"/>
        <v>83</v>
      </c>
      <c r="AV70" s="72">
        <f t="shared" si="16"/>
        <v>61</v>
      </c>
      <c r="AW70" s="72">
        <f>ROUND(W70/VLOOKUP($C70,CapRate,13),0)</f>
        <v>71</v>
      </c>
      <c r="AX70" s="72">
        <f>ROUND(X70/VLOOKUP($C70,CapRate,14),0)</f>
        <v>85</v>
      </c>
      <c r="AY70" s="72">
        <f>ROUND(Y70/VLOOKUP($C70,CapRate,15),0)</f>
        <v>105</v>
      </c>
      <c r="AZ70" s="72">
        <f>ROUND(Z70/VLOOKUP($C70,CapRate,16),0)</f>
        <v>122</v>
      </c>
      <c r="BA70" s="72">
        <f>ROUND(AA70/VLOOKUP($C70,CapRate,17),0)</f>
        <v>142</v>
      </c>
      <c r="BB70" s="72">
        <f>ROUND(AB70/VLOOKUP($C70,CapRate,18),0)</f>
        <v>162</v>
      </c>
      <c r="BC70" s="72">
        <f>ROUND(AC70/VLOOKUP($C70,CapRate,19),0)</f>
        <v>179</v>
      </c>
      <c r="BD70" s="72">
        <f>ROUND(AD70/VLOOKUP($C70,CapRate,20),0)</f>
        <v>190</v>
      </c>
      <c r="BE70" s="72">
        <f>ROUND(AE70/VLOOKUP($C70,CapRate,21),0)</f>
        <v>192</v>
      </c>
      <c r="BF70" s="72">
        <f>ROUND(AF70/VLOOKUP($C70,CapRate,22),0)</f>
        <v>190</v>
      </c>
      <c r="BG70" s="72">
        <f>ROUND(AG70/VLOOKUP($C70,CapRate,23),0)</f>
        <v>181</v>
      </c>
      <c r="BH70" s="72">
        <f>ROUND(AH70/VLOOKUP($C70,CapRate,24),0)</f>
        <v>167</v>
      </c>
      <c r="BI70" s="72">
        <f>ROUND(AI70/VLOOKUP($C70,CapRate,25),0)</f>
        <v>139</v>
      </c>
      <c r="BJ70" s="72">
        <f>ROUND(AJ70/VLOOKUP($C70,CapRate,26),0)</f>
        <v>123</v>
      </c>
      <c r="BK70" s="87">
        <f t="shared" si="13"/>
        <v>-0.1151079136690647</v>
      </c>
      <c r="BL70" s="76"/>
      <c r="BM70" s="77"/>
      <c r="BN70" s="77">
        <f>BK70</f>
        <v>-0.1151079136690647</v>
      </c>
      <c r="BO70" s="77"/>
      <c r="BP70" s="77"/>
    </row>
    <row r="71" spans="1:68" ht="15.9" customHeight="1" thickBot="1">
      <c r="A71" s="90" t="s">
        <v>65</v>
      </c>
      <c r="B71" s="22"/>
      <c r="C71" s="90" t="s">
        <v>69</v>
      </c>
      <c r="D71" s="91"/>
      <c r="E71" s="90" t="s">
        <v>41</v>
      </c>
      <c r="F71" s="190">
        <f>[1]AcreSummary!K23</f>
        <v>0.12769809138933302</v>
      </c>
      <c r="G71" s="191">
        <f>[1]Irrigated!D23</f>
        <v>200</v>
      </c>
      <c r="H71" s="94">
        <f>[1]Irrigated!E23</f>
        <v>0.57999999999999996</v>
      </c>
      <c r="I71" s="95"/>
      <c r="J71" s="96">
        <f>[1]Irrigated!H23</f>
        <v>29.69</v>
      </c>
      <c r="K71" s="97">
        <f>[1]Irrigated!I23</f>
        <v>32.909999999999997</v>
      </c>
      <c r="L71" s="98">
        <f>[1]Irrigated!J23</f>
        <v>35.86</v>
      </c>
      <c r="M71" s="96">
        <f>[1]Irrigated!K23</f>
        <v>40.29</v>
      </c>
      <c r="N71" s="99">
        <f>[1]Irrigated!L23</f>
        <v>42.49</v>
      </c>
      <c r="O71" s="100">
        <v>42.62</v>
      </c>
      <c r="P71" s="99">
        <f>[1]Irrigated!M23</f>
        <v>42.89</v>
      </c>
      <c r="Q71" s="101">
        <f>[1]Irrigated!N23</f>
        <v>41.74</v>
      </c>
      <c r="R71" s="102">
        <v>41.74</v>
      </c>
      <c r="S71" s="103">
        <f>[1]Irrigated!O23</f>
        <v>40.76</v>
      </c>
      <c r="T71" s="104">
        <f>[1]Irrigated!P23</f>
        <v>40.93</v>
      </c>
      <c r="U71" s="105">
        <f>[1]Irrigated!Q23</f>
        <v>39.01</v>
      </c>
      <c r="V71" s="98">
        <f>[1]Irrigated!R23</f>
        <v>35.61</v>
      </c>
      <c r="W71" s="98">
        <f>[1]Irrigated!S23</f>
        <v>40.6</v>
      </c>
      <c r="X71" s="98">
        <v>45.81</v>
      </c>
      <c r="Y71" s="98">
        <v>53.67</v>
      </c>
      <c r="Z71" s="98">
        <v>60.57</v>
      </c>
      <c r="AA71" s="98">
        <v>68.34</v>
      </c>
      <c r="AB71" s="98">
        <v>77.53</v>
      </c>
      <c r="AC71" s="98">
        <v>84.4</v>
      </c>
      <c r="AD71" s="98">
        <v>87.11</v>
      </c>
      <c r="AE71" s="98">
        <v>87.59</v>
      </c>
      <c r="AF71" s="98">
        <v>86.99</v>
      </c>
      <c r="AG71" s="106">
        <v>85.71</v>
      </c>
      <c r="AH71" s="107">
        <v>80.040000000000006</v>
      </c>
      <c r="AI71" s="107">
        <v>68.59</v>
      </c>
      <c r="AJ71" s="107">
        <v>61.14</v>
      </c>
      <c r="AK71" s="90">
        <f t="shared" si="2"/>
        <v>191</v>
      </c>
      <c r="AL71" s="90">
        <f t="shared" si="3"/>
        <v>213</v>
      </c>
      <c r="AM71" s="108">
        <f t="shared" si="4"/>
        <v>229</v>
      </c>
      <c r="AN71" s="91">
        <f t="shared" si="5"/>
        <v>262</v>
      </c>
      <c r="AO71" s="108">
        <f t="shared" si="6"/>
        <v>289</v>
      </c>
      <c r="AP71" s="109">
        <f t="shared" si="7"/>
        <v>293</v>
      </c>
      <c r="AQ71" s="110">
        <f t="shared" si="11"/>
        <v>283</v>
      </c>
      <c r="AR71" s="110">
        <f t="shared" si="11"/>
        <v>283</v>
      </c>
      <c r="AS71" s="110">
        <f t="shared" si="14"/>
        <v>275</v>
      </c>
      <c r="AT71" s="110">
        <f t="shared" si="15"/>
        <v>275</v>
      </c>
      <c r="AU71" s="110">
        <f t="shared" si="12"/>
        <v>261</v>
      </c>
      <c r="AV71" s="109">
        <f t="shared" si="16"/>
        <v>232</v>
      </c>
      <c r="AW71" s="109">
        <f>ROUND(W71/VLOOKUP($C71,CapRate,13),0)</f>
        <v>264</v>
      </c>
      <c r="AX71" s="109">
        <f>ROUND(X71/VLOOKUP($C71,CapRate,14),0)</f>
        <v>297</v>
      </c>
      <c r="AY71" s="109">
        <f>ROUND(Y71/VLOOKUP($C71,CapRate,15),0)</f>
        <v>346</v>
      </c>
      <c r="AZ71" s="109">
        <f>ROUND(Z71/VLOOKUP($C71,CapRate,16),0)</f>
        <v>390</v>
      </c>
      <c r="BA71" s="109">
        <f>ROUND(AA71/VLOOKUP($C71,CapRate,17),0)</f>
        <v>438</v>
      </c>
      <c r="BB71" s="109">
        <f>ROUND(AB71/VLOOKUP($C71,CapRate,18),0)</f>
        <v>495</v>
      </c>
      <c r="BC71" s="109">
        <f>ROUND(AC71/VLOOKUP($C71,CapRate,19),0)</f>
        <v>538</v>
      </c>
      <c r="BD71" s="109">
        <f>ROUND(AD71/VLOOKUP($C71,CapRate,20),0)</f>
        <v>554</v>
      </c>
      <c r="BE71" s="109">
        <f>ROUND(AE71/VLOOKUP($C71,CapRate,21),0)</f>
        <v>556</v>
      </c>
      <c r="BF71" s="109">
        <f>ROUND(AF71/VLOOKUP($C71,CapRate,22),0)</f>
        <v>552</v>
      </c>
      <c r="BG71" s="109">
        <f>ROUND(AG71/VLOOKUP($C71,CapRate,23),0)</f>
        <v>543</v>
      </c>
      <c r="BH71" s="109">
        <f>ROUND(AH71/VLOOKUP($C71,CapRate,24),0)</f>
        <v>507</v>
      </c>
      <c r="BI71" s="109">
        <f>ROUND(AI71/VLOOKUP($C71,CapRate,25),0)</f>
        <v>434</v>
      </c>
      <c r="BJ71" s="109">
        <f>ROUND(AJ71/VLOOKUP($C71,CapRate,26),0)</f>
        <v>387</v>
      </c>
      <c r="BK71" s="113">
        <f t="shared" si="13"/>
        <v>-0.10829493087557607</v>
      </c>
      <c r="BL71" s="114">
        <f>((F69*BK69)+(F70*BK70)+(F71*BK71))</f>
        <v>-8.8900216529017473E-2</v>
      </c>
      <c r="BM71" s="120"/>
      <c r="BN71" s="115"/>
      <c r="BO71" s="115">
        <f>BK71</f>
        <v>-0.10829493087557607</v>
      </c>
      <c r="BP71" s="115"/>
    </row>
    <row r="72" spans="1:68" ht="15.9" customHeight="1" thickTop="1">
      <c r="A72" s="8" t="s">
        <v>65</v>
      </c>
      <c r="B72" s="22"/>
      <c r="C72" s="8" t="s">
        <v>70</v>
      </c>
      <c r="D72" s="23" t="s">
        <v>70</v>
      </c>
      <c r="E72" s="8" t="s">
        <v>39</v>
      </c>
      <c r="F72" s="188">
        <f>[1]AcreSummary!M24</f>
        <v>0.14601946152368017</v>
      </c>
      <c r="G72" s="25"/>
      <c r="H72" s="117"/>
      <c r="I72" s="57">
        <f>[1]Native!E22</f>
        <v>4.54</v>
      </c>
      <c r="J72" s="58">
        <f>[1]Native!F22</f>
        <v>4.47</v>
      </c>
      <c r="K72" s="80">
        <f>[1]Native!G22</f>
        <v>4.6500000000000004</v>
      </c>
      <c r="L72" s="68">
        <f>[1]Native!H22</f>
        <v>4.71</v>
      </c>
      <c r="M72" s="58">
        <f>[1]Native!I22</f>
        <v>4.72</v>
      </c>
      <c r="N72" s="81">
        <f>[1]Native!J22</f>
        <v>4.68</v>
      </c>
      <c r="O72" s="62">
        <v>4.33</v>
      </c>
      <c r="P72" s="81">
        <f>[1]Native!K22</f>
        <v>4.53</v>
      </c>
      <c r="Q72" s="82">
        <f>[1]Native!L22</f>
        <v>4.41</v>
      </c>
      <c r="R72" s="83">
        <v>4.41</v>
      </c>
      <c r="S72" s="84">
        <f>[1]Native!M22</f>
        <v>4.45</v>
      </c>
      <c r="T72" s="66">
        <f>[1]Native!N22</f>
        <v>3.87</v>
      </c>
      <c r="U72" s="67">
        <f>[1]Native!O22</f>
        <v>3.74</v>
      </c>
      <c r="V72" s="68">
        <f>[1]Native!P22</f>
        <v>-0.79</v>
      </c>
      <c r="W72" s="68">
        <f>[1]Native!Q22</f>
        <v>-2.42</v>
      </c>
      <c r="X72" s="68">
        <v>-3.15</v>
      </c>
      <c r="Y72" s="68">
        <v>-3.84</v>
      </c>
      <c r="Z72" s="68">
        <v>-3.91</v>
      </c>
      <c r="AA72" s="68">
        <v>-3.43</v>
      </c>
      <c r="AB72" s="68">
        <v>-2.82</v>
      </c>
      <c r="AC72" s="68">
        <v>-2.02</v>
      </c>
      <c r="AD72" s="68">
        <v>-0.49</v>
      </c>
      <c r="AE72" s="68">
        <v>1.01</v>
      </c>
      <c r="AF72" s="68">
        <v>1.52</v>
      </c>
      <c r="AG72" s="69">
        <v>1.96</v>
      </c>
      <c r="AH72" s="70">
        <v>2.27</v>
      </c>
      <c r="AI72" s="70">
        <v>2.0499999999999998</v>
      </c>
      <c r="AJ72" s="70">
        <v>2.02</v>
      </c>
      <c r="AK72" s="8">
        <f t="shared" si="2"/>
        <v>33</v>
      </c>
      <c r="AL72" s="8">
        <f t="shared" si="3"/>
        <v>34</v>
      </c>
      <c r="AM72" s="85">
        <f t="shared" si="4"/>
        <v>33</v>
      </c>
      <c r="AN72" s="23">
        <f t="shared" si="5"/>
        <v>34</v>
      </c>
      <c r="AO72" s="85">
        <f t="shared" si="6"/>
        <v>33</v>
      </c>
      <c r="AP72" s="72">
        <f t="shared" si="7"/>
        <v>34</v>
      </c>
      <c r="AQ72" s="71">
        <f t="shared" si="11"/>
        <v>33</v>
      </c>
      <c r="AR72" s="71">
        <f t="shared" si="11"/>
        <v>33</v>
      </c>
      <c r="AS72" s="71">
        <f t="shared" si="14"/>
        <v>34</v>
      </c>
      <c r="AT72" s="71">
        <f t="shared" si="15"/>
        <v>29</v>
      </c>
      <c r="AU72" s="71">
        <f t="shared" si="12"/>
        <v>29</v>
      </c>
      <c r="AV72" s="122">
        <f>IF(ROUND(V72/VLOOKUP($C72,CapRate,12),0)&gt;10,V72/VLOOKUP($C72,CapRate,12),10)</f>
        <v>10</v>
      </c>
      <c r="AW72" s="122">
        <f>IF(ROUND(W72/VLOOKUP($C72,CapRate,13),0)&gt;10,W72/VLOOKUP($C72,CapRate,13),10)</f>
        <v>10</v>
      </c>
      <c r="AX72" s="122">
        <f>IF(ROUND(X72/VLOOKUP($C72,CapRate,14),0)&gt;10,X72/VLOOKUP($C72,CapRate,14),10)</f>
        <v>10</v>
      </c>
      <c r="AY72" s="122">
        <f>IF(ROUND(Y72/VLOOKUP($C72,CapRate,15),0)&gt;10,Y72/VLOOKUP($C72,CapRate,15),10)</f>
        <v>10</v>
      </c>
      <c r="AZ72" s="122">
        <f>IF(ROUND(Z72/VLOOKUP($C72,CapRate,16),0)&gt;10,Z72/VLOOKUP($C72,CapRate,16),10)</f>
        <v>10</v>
      </c>
      <c r="BA72" s="122">
        <f>IF(ROUND(AA72/VLOOKUP($C72,CapRate,17),0)&gt;10,AA72/VLOOKUP($C72,CapRate,17),10)</f>
        <v>10</v>
      </c>
      <c r="BB72" s="122">
        <f>IF(ROUND(AB72/VLOOKUP($C72,CapRate,18),0)&gt;10,AB72/VLOOKUP($C72,CapRate,18),10)</f>
        <v>10</v>
      </c>
      <c r="BC72" s="122">
        <f>IF(ROUND(AC72/VLOOKUP($C72,CapRate,19),0)&gt;10,AC72/VLOOKUP($C72,CapRate,19),10)</f>
        <v>10</v>
      </c>
      <c r="BD72" s="122">
        <f>IF(ROUND(AD72/VLOOKUP($C72,CapRate,20),0)&gt;10,AD72/VLOOKUP($C72,CapRate,20),10)</f>
        <v>10</v>
      </c>
      <c r="BE72" s="122">
        <f>IF(ROUND(AE72/VLOOKUP($C72,CapRate,21),0)&gt;10,AE72/VLOOKUP($C72,CapRate,21),10)</f>
        <v>10</v>
      </c>
      <c r="BF72" s="122">
        <f>IF(ROUND(AF72/VLOOKUP($C72,CapRate,22),0)&gt;10,AF72/VLOOKUP($C72,CapRate,22),10)</f>
        <v>10.998552821997107</v>
      </c>
      <c r="BG72" s="122">
        <f>IF(ROUND(AG72/VLOOKUP($C72,CapRate,23),0)&gt;10,AG72/VLOOKUP($C72,CapRate,23),10)</f>
        <v>14.100719424460429</v>
      </c>
      <c r="BH72" s="122">
        <f>IF(ROUND(AH72/VLOOKUP($C72,CapRate,24),0)&gt;10,AH72/VLOOKUP($C72,CapRate,24),10)</f>
        <v>16.214285714285712</v>
      </c>
      <c r="BI72" s="122">
        <f>IF(ROUND(AI72/VLOOKUP($C72,CapRate,25),0)&gt;10,AI72/VLOOKUP($C72,CapRate,25),10)</f>
        <v>14.6011396011396</v>
      </c>
      <c r="BJ72" s="122">
        <f>IF(ROUND(AJ72/VLOOKUP($C72,CapRate,26),0)&gt;10,AJ72/VLOOKUP($C72,CapRate,26),10)</f>
        <v>14.305949008498585</v>
      </c>
      <c r="BK72" s="75">
        <f t="shared" si="13"/>
        <v>-2.0216955710633422E-2</v>
      </c>
      <c r="BL72" s="76"/>
      <c r="BM72" s="77">
        <f>BK72</f>
        <v>-2.0216955710633422E-2</v>
      </c>
      <c r="BN72" s="77"/>
      <c r="BO72" s="77"/>
      <c r="BP72" s="77"/>
    </row>
    <row r="73" spans="1:68" ht="15.9" customHeight="1">
      <c r="A73" s="8" t="s">
        <v>65</v>
      </c>
      <c r="B73" s="22"/>
      <c r="C73" s="8" t="s">
        <v>70</v>
      </c>
      <c r="D73" s="23"/>
      <c r="E73" s="8" t="s">
        <v>40</v>
      </c>
      <c r="F73" s="188">
        <f>[1]AcreSummary!J24</f>
        <v>0.58128863513825746</v>
      </c>
      <c r="G73" s="25"/>
      <c r="H73" s="117"/>
      <c r="I73" s="57">
        <f>[1]Dry!E24</f>
        <v>12.1</v>
      </c>
      <c r="J73" s="58">
        <f>[1]Dry!F24</f>
        <v>11.89</v>
      </c>
      <c r="K73" s="80">
        <f>[1]Dry!G24</f>
        <v>12.04</v>
      </c>
      <c r="L73" s="68">
        <f>[1]Dry!H24</f>
        <v>12.31</v>
      </c>
      <c r="M73" s="58">
        <f>[1]Dry!I24</f>
        <v>12.56</v>
      </c>
      <c r="N73" s="81">
        <f>[1]Dry!J24</f>
        <v>12.85</v>
      </c>
      <c r="O73" s="62">
        <v>12.88</v>
      </c>
      <c r="P73" s="81">
        <f>[1]Dry!K24</f>
        <v>12.81</v>
      </c>
      <c r="Q73" s="82">
        <f>[1]Dry!L24</f>
        <v>12.49</v>
      </c>
      <c r="R73" s="83">
        <f>Q73*0.95</f>
        <v>11.865499999999999</v>
      </c>
      <c r="S73" s="84">
        <f>[1]Dry!N24</f>
        <v>11.63</v>
      </c>
      <c r="T73" s="66">
        <f>[1]Dry!O24</f>
        <v>10.8</v>
      </c>
      <c r="U73" s="67">
        <f>[1]Dry!P24</f>
        <v>9.85</v>
      </c>
      <c r="V73" s="68">
        <f>[1]Dry!Q24</f>
        <v>4.63</v>
      </c>
      <c r="W73" s="68">
        <f>[1]Dry!R24</f>
        <v>5.41</v>
      </c>
      <c r="X73" s="68">
        <f>[1]Dry!S24</f>
        <v>6.44</v>
      </c>
      <c r="Y73" s="68">
        <f>[1]Dry!T24</f>
        <v>7.84</v>
      </c>
      <c r="Z73" s="68">
        <v>8</v>
      </c>
      <c r="AA73" s="68">
        <v>8.17</v>
      </c>
      <c r="AB73" s="68">
        <v>7.84</v>
      </c>
      <c r="AC73" s="68">
        <v>7.63</v>
      </c>
      <c r="AD73" s="68">
        <v>6.98</v>
      </c>
      <c r="AE73" s="68">
        <v>5.07</v>
      </c>
      <c r="AF73" s="68">
        <v>3.11</v>
      </c>
      <c r="AG73" s="69">
        <v>0.68</v>
      </c>
      <c r="AH73" s="70">
        <v>-2.0099999999999998</v>
      </c>
      <c r="AI73" s="70">
        <v>-6.5</v>
      </c>
      <c r="AJ73" s="70">
        <v>-9.3699999999999992</v>
      </c>
      <c r="AK73" s="8">
        <f t="shared" si="2"/>
        <v>86</v>
      </c>
      <c r="AL73" s="8">
        <f t="shared" si="3"/>
        <v>87</v>
      </c>
      <c r="AM73" s="85">
        <f t="shared" si="4"/>
        <v>88</v>
      </c>
      <c r="AN73" s="23">
        <f t="shared" si="5"/>
        <v>91</v>
      </c>
      <c r="AO73" s="85">
        <f t="shared" ref="AO73:AO136" si="17">ROUND(O73/VLOOKUP($C73,CapRate,6),0)</f>
        <v>97</v>
      </c>
      <c r="AP73" s="72">
        <f t="shared" ref="AP73:AP136" si="18">ROUND(P73/VLOOKUP($C73,CapRate,7),0)</f>
        <v>97</v>
      </c>
      <c r="AQ73" s="71">
        <f t="shared" si="11"/>
        <v>95</v>
      </c>
      <c r="AR73" s="71">
        <f t="shared" si="11"/>
        <v>90</v>
      </c>
      <c r="AS73" s="71">
        <f t="shared" si="14"/>
        <v>88</v>
      </c>
      <c r="AT73" s="71">
        <f t="shared" si="15"/>
        <v>82</v>
      </c>
      <c r="AU73" s="71">
        <f t="shared" si="12"/>
        <v>75</v>
      </c>
      <c r="AV73" s="72">
        <f t="shared" si="16"/>
        <v>35</v>
      </c>
      <c r="AW73" s="72">
        <f>ROUND(W73/VLOOKUP($C73,CapRate,13),0)</f>
        <v>41</v>
      </c>
      <c r="AX73" s="72">
        <f>ROUND(X73/VLOOKUP($C73,CapRate,14),0)</f>
        <v>48</v>
      </c>
      <c r="AY73" s="72">
        <f>ROUND(Y73/VLOOKUP($C73,CapRate,15),0)</f>
        <v>58</v>
      </c>
      <c r="AZ73" s="72">
        <f>ROUND(Z73/VLOOKUP($C73,CapRate,16),0)</f>
        <v>59</v>
      </c>
      <c r="BA73" s="72">
        <f>ROUND(AA73/VLOOKUP($C73,CapRate,17),0)</f>
        <v>60</v>
      </c>
      <c r="BB73" s="72">
        <f>ROUND(AB73/VLOOKUP($C73,CapRate,18),0)</f>
        <v>57</v>
      </c>
      <c r="BC73" s="72">
        <f>ROUND(AC73/VLOOKUP($C73,CapRate,19),0)</f>
        <v>55</v>
      </c>
      <c r="BD73" s="72">
        <f>ROUND(AD73/VLOOKUP($C73,CapRate,20),0)</f>
        <v>50</v>
      </c>
      <c r="BE73" s="72">
        <f>ROUND(AE73/VLOOKUP($C73,CapRate,21),0)</f>
        <v>37</v>
      </c>
      <c r="BF73" s="72">
        <f>ROUND(AF73/VLOOKUP($C73,CapRate,22),0)</f>
        <v>23</v>
      </c>
      <c r="BG73" s="72">
        <f>IF(ROUND(AG73/VLOOKUP($C73,CapRate,23),0)&gt;10,AG73/VLOOKUP($C73,CapRate,23),10)</f>
        <v>10</v>
      </c>
      <c r="BH73" s="72">
        <f>IF(ROUND(AH73/VLOOKUP($C73,CapRate,24),0)&gt;10,AH73/VLOOKUP($C73,CapRate,24),10)</f>
        <v>10</v>
      </c>
      <c r="BI73" s="72">
        <f>IF(ROUND(AI73/VLOOKUP($C73,CapRate,25),0)&gt;10,AI73/VLOOKUP($C73,CapRate,25),10)</f>
        <v>10</v>
      </c>
      <c r="BJ73" s="72">
        <f>IF(ROUND(AJ73/VLOOKUP($C73,CapRate,26),0)&gt;10,AJ73/VLOOKUP($C73,CapRate,26),10)</f>
        <v>10</v>
      </c>
      <c r="BK73" s="87">
        <f t="shared" si="13"/>
        <v>0</v>
      </c>
      <c r="BL73" s="76"/>
      <c r="BM73" s="77"/>
      <c r="BN73" s="77">
        <f>BK73</f>
        <v>0</v>
      </c>
      <c r="BO73" s="77"/>
      <c r="BP73" s="77"/>
    </row>
    <row r="74" spans="1:68" ht="15.9" customHeight="1" thickBot="1">
      <c r="A74" s="90" t="s">
        <v>65</v>
      </c>
      <c r="B74" s="22"/>
      <c r="C74" s="90" t="s">
        <v>70</v>
      </c>
      <c r="D74" s="91"/>
      <c r="E74" s="90" t="s">
        <v>41</v>
      </c>
      <c r="F74" s="190">
        <f>[1]AcreSummary!K24</f>
        <v>0.27269190333806226</v>
      </c>
      <c r="G74" s="191">
        <f>[1]Irrigated!D24</f>
        <v>500</v>
      </c>
      <c r="H74" s="94">
        <f>[1]Irrigated!E24</f>
        <v>0.53</v>
      </c>
      <c r="I74" s="95"/>
      <c r="J74" s="96">
        <f>[1]Irrigated!H24</f>
        <v>13.54</v>
      </c>
      <c r="K74" s="97">
        <f>[1]Irrigated!I24</f>
        <v>16.59</v>
      </c>
      <c r="L74" s="98">
        <f>[1]Irrigated!J24</f>
        <v>19.23</v>
      </c>
      <c r="M74" s="96">
        <f>[1]Irrigated!K24</f>
        <v>23.35</v>
      </c>
      <c r="N74" s="99">
        <f>[1]Irrigated!L24</f>
        <v>25.31</v>
      </c>
      <c r="O74" s="100">
        <v>18.489999999999998</v>
      </c>
      <c r="P74" s="99">
        <f>[1]Irrigated!M24</f>
        <v>24.95</v>
      </c>
      <c r="Q74" s="101">
        <f>[1]Irrigated!N24</f>
        <v>23.12</v>
      </c>
      <c r="R74" s="102">
        <v>23.12</v>
      </c>
      <c r="S74" s="103">
        <f>[1]Irrigated!O24</f>
        <v>22.07</v>
      </c>
      <c r="T74" s="104">
        <f>[1]Irrigated!P24</f>
        <v>22.16</v>
      </c>
      <c r="U74" s="105">
        <f>[1]Irrigated!Q24</f>
        <v>20.2</v>
      </c>
      <c r="V74" s="98">
        <f>[1]Irrigated!R24</f>
        <v>19.170000000000002</v>
      </c>
      <c r="W74" s="98">
        <f>[1]Irrigated!S24</f>
        <v>24.95</v>
      </c>
      <c r="X74" s="98">
        <v>30.34</v>
      </c>
      <c r="Y74" s="98">
        <v>38.6</v>
      </c>
      <c r="Z74" s="98">
        <v>45.6</v>
      </c>
      <c r="AA74" s="98">
        <v>53.01</v>
      </c>
      <c r="AB74" s="98">
        <v>49.07</v>
      </c>
      <c r="AC74" s="98">
        <v>54.68</v>
      </c>
      <c r="AD74" s="98">
        <v>54.11</v>
      </c>
      <c r="AE74" s="98">
        <v>51.4</v>
      </c>
      <c r="AF74" s="98">
        <v>48.75</v>
      </c>
      <c r="AG74" s="106">
        <v>46.38</v>
      </c>
      <c r="AH74" s="107">
        <v>39.92</v>
      </c>
      <c r="AI74" s="107">
        <v>27.47</v>
      </c>
      <c r="AJ74" s="107">
        <v>18.71</v>
      </c>
      <c r="AK74" s="90">
        <f t="shared" si="2"/>
        <v>98</v>
      </c>
      <c r="AL74" s="90">
        <f t="shared" si="3"/>
        <v>120</v>
      </c>
      <c r="AM74" s="108">
        <f t="shared" si="4"/>
        <v>137</v>
      </c>
      <c r="AN74" s="91">
        <f t="shared" si="5"/>
        <v>169</v>
      </c>
      <c r="AO74" s="108">
        <f t="shared" si="17"/>
        <v>139</v>
      </c>
      <c r="AP74" s="109">
        <f t="shared" si="18"/>
        <v>190</v>
      </c>
      <c r="AQ74" s="110">
        <f t="shared" si="11"/>
        <v>175</v>
      </c>
      <c r="AR74" s="110">
        <f t="shared" si="11"/>
        <v>175</v>
      </c>
      <c r="AS74" s="110">
        <f t="shared" si="14"/>
        <v>167</v>
      </c>
      <c r="AT74" s="110">
        <f t="shared" si="15"/>
        <v>168</v>
      </c>
      <c r="AU74" s="110">
        <f t="shared" si="12"/>
        <v>154</v>
      </c>
      <c r="AV74" s="109">
        <f t="shared" si="16"/>
        <v>145</v>
      </c>
      <c r="AW74" s="109">
        <f>ROUND(W74/VLOOKUP($C74,CapRate,13),0)</f>
        <v>187</v>
      </c>
      <c r="AX74" s="109">
        <f>ROUND(X74/VLOOKUP($C74,CapRate,14),0)</f>
        <v>227</v>
      </c>
      <c r="AY74" s="109">
        <f>ROUND(Y74/VLOOKUP($C74,CapRate,15),0)</f>
        <v>286</v>
      </c>
      <c r="AZ74" s="109">
        <f>ROUND(Z74/VLOOKUP($C74,CapRate,16),0)</f>
        <v>337</v>
      </c>
      <c r="BA74" s="109">
        <f>ROUND(AA74/VLOOKUP($C74,CapRate,17),0)</f>
        <v>388</v>
      </c>
      <c r="BB74" s="109">
        <f>ROUND(AB74/VLOOKUP($C74,CapRate,18),0)</f>
        <v>356</v>
      </c>
      <c r="BC74" s="109">
        <f>ROUND(AC74/VLOOKUP($C74,CapRate,19),0)</f>
        <v>396</v>
      </c>
      <c r="BD74" s="109">
        <f>ROUND(AD74/VLOOKUP($C74,CapRate,20),0)</f>
        <v>391</v>
      </c>
      <c r="BE74" s="109">
        <f>ROUND(AE74/VLOOKUP($C74,CapRate,21),0)</f>
        <v>372</v>
      </c>
      <c r="BF74" s="109">
        <f>ROUND(AF74/VLOOKUP($C74,CapRate,22),0)</f>
        <v>353</v>
      </c>
      <c r="BG74" s="109">
        <f>ROUND(AG74/VLOOKUP($C74,CapRate,23),0)</f>
        <v>334</v>
      </c>
      <c r="BH74" s="109">
        <f>ROUND(AH74/VLOOKUP($C74,CapRate,24),0)</f>
        <v>285</v>
      </c>
      <c r="BI74" s="109">
        <f>ROUND(AI74/VLOOKUP($C74,CapRate,25),0)</f>
        <v>196</v>
      </c>
      <c r="BJ74" s="109">
        <f>ROUND(AJ74/VLOOKUP($C74,CapRate,26),0)</f>
        <v>133</v>
      </c>
      <c r="BK74" s="113">
        <f t="shared" si="13"/>
        <v>-0.3214285714285714</v>
      </c>
      <c r="BL74" s="114">
        <f>((F72*BK72)+(F73*BK73)+(F74*BK74))</f>
        <v>-9.0603037916606219E-2</v>
      </c>
      <c r="BM74" s="120"/>
      <c r="BN74" s="115"/>
      <c r="BO74" s="115">
        <f>BK74</f>
        <v>-0.3214285714285714</v>
      </c>
      <c r="BP74" s="115"/>
    </row>
    <row r="75" spans="1:68" ht="15.9" customHeight="1" thickTop="1">
      <c r="A75" s="8" t="s">
        <v>65</v>
      </c>
      <c r="B75" s="22"/>
      <c r="C75" s="8" t="s">
        <v>71</v>
      </c>
      <c r="D75" s="23" t="s">
        <v>71</v>
      </c>
      <c r="E75" s="8" t="s">
        <v>39</v>
      </c>
      <c r="F75" s="188">
        <f>[1]AcreSummary!M25</f>
        <v>0.14524140487219242</v>
      </c>
      <c r="G75" s="25"/>
      <c r="H75" s="117"/>
      <c r="I75" s="57">
        <f>[1]Native!E23</f>
        <v>4.93</v>
      </c>
      <c r="J75" s="58">
        <f>[1]Native!F23</f>
        <v>4.5199999999999996</v>
      </c>
      <c r="K75" s="80">
        <f>[1]Native!G23</f>
        <v>4.6900000000000004</v>
      </c>
      <c r="L75" s="68">
        <f>[1]Native!H23</f>
        <v>4.71</v>
      </c>
      <c r="M75" s="58">
        <f>[1]Native!I23</f>
        <v>4.67</v>
      </c>
      <c r="N75" s="81">
        <f>[1]Native!J23</f>
        <v>4.58</v>
      </c>
      <c r="O75" s="62">
        <v>4.57</v>
      </c>
      <c r="P75" s="81">
        <f>[1]Native!K23</f>
        <v>4.3899999999999997</v>
      </c>
      <c r="Q75" s="82">
        <f>[1]Native!L23</f>
        <v>4.2300000000000004</v>
      </c>
      <c r="R75" s="83">
        <v>4.2300000000000004</v>
      </c>
      <c r="S75" s="84">
        <f>[1]Native!M23</f>
        <v>4.22</v>
      </c>
      <c r="T75" s="66">
        <f>[1]Native!N23</f>
        <v>4.16</v>
      </c>
      <c r="U75" s="67">
        <f>[1]Native!O23</f>
        <v>3.96</v>
      </c>
      <c r="V75" s="68">
        <f>[1]Native!P23</f>
        <v>-0.1</v>
      </c>
      <c r="W75" s="68">
        <f>[1]Native!Q23</f>
        <v>-1.57</v>
      </c>
      <c r="X75" s="68">
        <v>-2.0499999999999998</v>
      </c>
      <c r="Y75" s="68">
        <v>-2.48</v>
      </c>
      <c r="Z75" s="68">
        <v>-1.82</v>
      </c>
      <c r="AA75" s="68">
        <v>-0.98</v>
      </c>
      <c r="AB75" s="68">
        <v>-0.34</v>
      </c>
      <c r="AC75" s="68">
        <v>0.36</v>
      </c>
      <c r="AD75" s="68">
        <v>1.92</v>
      </c>
      <c r="AE75" s="68">
        <v>3.44</v>
      </c>
      <c r="AF75" s="68">
        <v>3.98</v>
      </c>
      <c r="AG75" s="69">
        <v>4.43</v>
      </c>
      <c r="AH75" s="70">
        <v>4.75</v>
      </c>
      <c r="AI75" s="70">
        <v>4.59</v>
      </c>
      <c r="AJ75" s="70">
        <v>4.59</v>
      </c>
      <c r="AK75" s="8">
        <f t="shared" si="2"/>
        <v>30</v>
      </c>
      <c r="AL75" s="8">
        <f t="shared" si="3"/>
        <v>31</v>
      </c>
      <c r="AM75" s="85">
        <f t="shared" si="4"/>
        <v>31</v>
      </c>
      <c r="AN75" s="23">
        <f t="shared" si="5"/>
        <v>31</v>
      </c>
      <c r="AO75" s="85">
        <f t="shared" si="17"/>
        <v>32</v>
      </c>
      <c r="AP75" s="72">
        <f t="shared" si="18"/>
        <v>31</v>
      </c>
      <c r="AQ75" s="71">
        <f t="shared" si="11"/>
        <v>30</v>
      </c>
      <c r="AR75" s="71">
        <f t="shared" si="11"/>
        <v>30</v>
      </c>
      <c r="AS75" s="71">
        <f t="shared" si="14"/>
        <v>30</v>
      </c>
      <c r="AT75" s="71">
        <f t="shared" si="15"/>
        <v>29</v>
      </c>
      <c r="AU75" s="71">
        <f t="shared" si="12"/>
        <v>28</v>
      </c>
      <c r="AV75" s="122">
        <f>IF(ROUND(V75/VLOOKUP($C75,CapRate,12),0)&gt;10,V75/VLOOKUP($C75,CapRate,12),10)</f>
        <v>10</v>
      </c>
      <c r="AW75" s="122">
        <f>IF(ROUND(W75/VLOOKUP($C75,CapRate,13),0)&gt;10,W75/VLOOKUP($C75,CapRate,13),10)</f>
        <v>10</v>
      </c>
      <c r="AX75" s="122">
        <f>IF(ROUND(X75/VLOOKUP($C75,CapRate,14),0)&gt;10,X75/VLOOKUP($C75,CapRate,14),10)</f>
        <v>10</v>
      </c>
      <c r="AY75" s="122">
        <f>IF(ROUND(Y75/VLOOKUP($C75,CapRate,15),0)&gt;10,Y75/VLOOKUP($C75,CapRate,15),10)</f>
        <v>10</v>
      </c>
      <c r="AZ75" s="122">
        <f>IF(ROUND(Z75/VLOOKUP($C75,CapRate,16),0)&gt;10,Z75/VLOOKUP($C75,CapRate,16),10)</f>
        <v>10</v>
      </c>
      <c r="BA75" s="122">
        <f>IF(ROUND(AA75/VLOOKUP($C75,CapRate,17),0)&gt;10,AA75/VLOOKUP($C75,CapRate,17),10)</f>
        <v>10</v>
      </c>
      <c r="BB75" s="122">
        <f>IF(ROUND(AB75/VLOOKUP($C75,CapRate,18),0)&gt;10,AB75/VLOOKUP($C75,CapRate,18),10)</f>
        <v>10</v>
      </c>
      <c r="BC75" s="122">
        <f>IF(ROUND(AC75/VLOOKUP($C75,CapRate,19),0)&gt;10,AC75/VLOOKUP($C75,CapRate,19),10)</f>
        <v>10</v>
      </c>
      <c r="BD75" s="122">
        <f>IF(ROUND(AD75/VLOOKUP($C75,CapRate,20),0)&gt;10,AD75/VLOOKUP($C75,CapRate,20),10)</f>
        <v>13.016949152542374</v>
      </c>
      <c r="BE75" s="122">
        <f>IF(ROUND(AE75/VLOOKUP($C75,CapRate,21),0)&gt;10,AE75/VLOOKUP($C75,CapRate,21),10)</f>
        <v>23.38545207341944</v>
      </c>
      <c r="BF75" s="122">
        <f>IF(ROUND(AF75/VLOOKUP($C75,CapRate,22),0)&gt;10,AF75/VLOOKUP($C75,CapRate,22),10)</f>
        <v>27.130197682344921</v>
      </c>
      <c r="BG75" s="122">
        <f>IF(ROUND(AG75/VLOOKUP($C75,CapRate,23),0)&gt;10,AG75/VLOOKUP($C75,CapRate,23),10)</f>
        <v>30.280246069719748</v>
      </c>
      <c r="BH75" s="122">
        <f>IF(ROUND(AH75/VLOOKUP($C75,CapRate,24),0)&gt;10,AH75/VLOOKUP($C75,CapRate,24),10)</f>
        <v>32.379004771642812</v>
      </c>
      <c r="BI75" s="122">
        <v>31</v>
      </c>
      <c r="BJ75" s="122">
        <v>31</v>
      </c>
      <c r="BK75" s="75">
        <f t="shared" si="13"/>
        <v>0</v>
      </c>
      <c r="BL75" s="76"/>
      <c r="BM75" s="127">
        <f>BK75</f>
        <v>0</v>
      </c>
      <c r="BN75" s="77"/>
      <c r="BO75" s="77"/>
      <c r="BP75" s="77"/>
    </row>
    <row r="76" spans="1:68" ht="15.9" customHeight="1">
      <c r="A76" s="8" t="s">
        <v>65</v>
      </c>
      <c r="B76" s="22"/>
      <c r="C76" s="8" t="s">
        <v>71</v>
      </c>
      <c r="D76" s="23"/>
      <c r="E76" s="8" t="s">
        <v>40</v>
      </c>
      <c r="F76" s="188">
        <f>[1]AcreSummary!J25</f>
        <v>0.57398355547256164</v>
      </c>
      <c r="G76" s="25"/>
      <c r="H76" s="117"/>
      <c r="I76" s="57">
        <f>[1]Dry!E25</f>
        <v>12.05</v>
      </c>
      <c r="J76" s="58">
        <f>[1]Dry!F25</f>
        <v>12.18</v>
      </c>
      <c r="K76" s="80">
        <f>[1]Dry!G25</f>
        <v>12.32</v>
      </c>
      <c r="L76" s="68">
        <f>[1]Dry!H25</f>
        <v>12.59</v>
      </c>
      <c r="M76" s="58">
        <f>[1]Dry!I25</f>
        <v>12.96</v>
      </c>
      <c r="N76" s="81">
        <f>[1]Dry!J25</f>
        <v>13.56</v>
      </c>
      <c r="O76" s="62">
        <v>13.6</v>
      </c>
      <c r="P76" s="81">
        <f>[1]Dry!K25</f>
        <v>13.98</v>
      </c>
      <c r="Q76" s="82">
        <f>[1]Dry!L25</f>
        <v>14.19</v>
      </c>
      <c r="R76" s="83">
        <f>Q76*0.95</f>
        <v>13.480499999999999</v>
      </c>
      <c r="S76" s="84">
        <f>[1]Dry!N25</f>
        <v>13.7</v>
      </c>
      <c r="T76" s="66">
        <f>[1]Dry!O25</f>
        <v>13.21</v>
      </c>
      <c r="U76" s="67">
        <f>[1]Dry!P25</f>
        <v>12.61</v>
      </c>
      <c r="V76" s="68">
        <f>[1]Dry!Q25</f>
        <v>7.95</v>
      </c>
      <c r="W76" s="68">
        <f>[1]Dry!R25</f>
        <v>9.01</v>
      </c>
      <c r="X76" s="68">
        <f>[1]Dry!S25</f>
        <v>11.23</v>
      </c>
      <c r="Y76" s="68">
        <f>[1]Dry!T25</f>
        <v>14.29</v>
      </c>
      <c r="Z76" s="68">
        <v>16.75</v>
      </c>
      <c r="AA76" s="68">
        <v>19.89</v>
      </c>
      <c r="AB76" s="68">
        <v>22.59</v>
      </c>
      <c r="AC76" s="68">
        <v>25.42</v>
      </c>
      <c r="AD76" s="68">
        <v>26.69</v>
      </c>
      <c r="AE76" s="68">
        <v>27.2</v>
      </c>
      <c r="AF76" s="68">
        <v>26.43</v>
      </c>
      <c r="AG76" s="69">
        <v>24.92</v>
      </c>
      <c r="AH76" s="70">
        <v>22.66</v>
      </c>
      <c r="AI76" s="70">
        <v>19.02</v>
      </c>
      <c r="AJ76" s="70">
        <v>16.28</v>
      </c>
      <c r="AK76" s="8">
        <f t="shared" si="2"/>
        <v>80</v>
      </c>
      <c r="AL76" s="8">
        <f t="shared" si="3"/>
        <v>81</v>
      </c>
      <c r="AM76" s="85">
        <f t="shared" si="4"/>
        <v>82</v>
      </c>
      <c r="AN76" s="23">
        <f t="shared" si="5"/>
        <v>87</v>
      </c>
      <c r="AO76" s="85">
        <f t="shared" si="17"/>
        <v>95</v>
      </c>
      <c r="AP76" s="72">
        <f t="shared" si="18"/>
        <v>99</v>
      </c>
      <c r="AQ76" s="71">
        <f t="shared" si="11"/>
        <v>100</v>
      </c>
      <c r="AR76" s="71">
        <f t="shared" si="11"/>
        <v>95</v>
      </c>
      <c r="AS76" s="71">
        <f t="shared" si="14"/>
        <v>96</v>
      </c>
      <c r="AT76" s="71">
        <f t="shared" si="15"/>
        <v>93</v>
      </c>
      <c r="AU76" s="71">
        <f t="shared" si="12"/>
        <v>89</v>
      </c>
      <c r="AV76" s="72">
        <f t="shared" si="16"/>
        <v>54</v>
      </c>
      <c r="AW76" s="72">
        <f>ROUND(W76/VLOOKUP($C76,CapRate,13),0)</f>
        <v>61</v>
      </c>
      <c r="AX76" s="72">
        <f>ROUND(X76/VLOOKUP($C76,CapRate,14),0)</f>
        <v>76</v>
      </c>
      <c r="AY76" s="72">
        <f>ROUND(Y76/VLOOKUP($C76,CapRate,15),0)</f>
        <v>97</v>
      </c>
      <c r="AZ76" s="72">
        <f>ROUND(Z76/VLOOKUP($C76,CapRate,16),0)</f>
        <v>113</v>
      </c>
      <c r="BA76" s="72">
        <f>ROUND(AA76/VLOOKUP($C76,CapRate,17),0)</f>
        <v>134</v>
      </c>
      <c r="BB76" s="72">
        <f>ROUND(AB76/VLOOKUP($C76,CapRate,18),0)</f>
        <v>153</v>
      </c>
      <c r="BC76" s="72">
        <f>ROUND(AC76/VLOOKUP($C76,CapRate,19),0)</f>
        <v>172</v>
      </c>
      <c r="BD76" s="72">
        <f>ROUND(AD76/VLOOKUP($C76,CapRate,20),0)</f>
        <v>181</v>
      </c>
      <c r="BE76" s="72">
        <f>ROUND(AE76/VLOOKUP($C76,CapRate,21),0)</f>
        <v>185</v>
      </c>
      <c r="BF76" s="72">
        <f>ROUND(AF76/VLOOKUP($C76,CapRate,22),0)</f>
        <v>180</v>
      </c>
      <c r="BG76" s="72">
        <f>ROUND(AG76/VLOOKUP($C76,CapRate,23),0)</f>
        <v>170</v>
      </c>
      <c r="BH76" s="72">
        <f>ROUND(AH76/VLOOKUP($C76,CapRate,24),0)</f>
        <v>154</v>
      </c>
      <c r="BI76" s="72">
        <f>ROUND(AI76/VLOOKUP($C76,CapRate,25),0)</f>
        <v>129</v>
      </c>
      <c r="BJ76" s="72">
        <f>ROUND(AJ76/VLOOKUP($C76,CapRate,26),0)</f>
        <v>111</v>
      </c>
      <c r="BK76" s="87">
        <f t="shared" si="13"/>
        <v>-0.13953488372093026</v>
      </c>
      <c r="BL76" s="76"/>
      <c r="BM76" s="77"/>
      <c r="BN76" s="77">
        <f>BK76</f>
        <v>-0.13953488372093026</v>
      </c>
      <c r="BO76" s="77"/>
      <c r="BP76" s="77"/>
    </row>
    <row r="77" spans="1:68" ht="15.9" customHeight="1" thickBot="1">
      <c r="A77" s="8" t="s">
        <v>65</v>
      </c>
      <c r="B77" s="22"/>
      <c r="C77" s="90" t="s">
        <v>71</v>
      </c>
      <c r="D77" s="91"/>
      <c r="E77" s="90" t="s">
        <v>41</v>
      </c>
      <c r="F77" s="190">
        <f>[1]AcreSummary!K25</f>
        <v>0.28077503965524608</v>
      </c>
      <c r="G77" s="191">
        <f>[1]Irrigated!D25</f>
        <v>300</v>
      </c>
      <c r="H77" s="94">
        <f>[1]Irrigated!E25</f>
        <v>0.41649999999999998</v>
      </c>
      <c r="I77" s="95"/>
      <c r="J77" s="96">
        <f>[1]Irrigated!H25</f>
        <v>26.47</v>
      </c>
      <c r="K77" s="97">
        <f>[1]Irrigated!I25</f>
        <v>28.62</v>
      </c>
      <c r="L77" s="98">
        <f>[1]Irrigated!J25</f>
        <v>30.61</v>
      </c>
      <c r="M77" s="96">
        <f>[1]Irrigated!K25</f>
        <v>34</v>
      </c>
      <c r="N77" s="99">
        <f>[1]Irrigated!L25</f>
        <v>35.520000000000003</v>
      </c>
      <c r="O77" s="100">
        <v>28.55</v>
      </c>
      <c r="P77" s="99">
        <f>[1]Irrigated!M25</f>
        <v>35.200000000000003</v>
      </c>
      <c r="Q77" s="101">
        <f>[1]Irrigated!N25</f>
        <v>34.520000000000003</v>
      </c>
      <c r="R77" s="102">
        <v>34.520000000000003</v>
      </c>
      <c r="S77" s="103">
        <f>[1]Irrigated!O25</f>
        <v>34.04</v>
      </c>
      <c r="T77" s="104">
        <f>[1]Irrigated!P25</f>
        <v>34.729999999999997</v>
      </c>
      <c r="U77" s="105">
        <f>[1]Irrigated!Q25</f>
        <v>34.090000000000003</v>
      </c>
      <c r="V77" s="98">
        <f>[1]Irrigated!R25</f>
        <v>35.22</v>
      </c>
      <c r="W77" s="98">
        <f>[1]Irrigated!S25</f>
        <v>40.06</v>
      </c>
      <c r="X77" s="98">
        <v>45.09</v>
      </c>
      <c r="Y77" s="98">
        <v>52.76</v>
      </c>
      <c r="Z77" s="98">
        <v>59.55</v>
      </c>
      <c r="AA77" s="98">
        <v>67.209999999999994</v>
      </c>
      <c r="AB77" s="98">
        <v>68.260000000000005</v>
      </c>
      <c r="AC77" s="98">
        <v>74.69</v>
      </c>
      <c r="AD77" s="98">
        <v>76.28</v>
      </c>
      <c r="AE77" s="98">
        <v>75.63</v>
      </c>
      <c r="AF77" s="98">
        <v>73.86</v>
      </c>
      <c r="AG77" s="106">
        <v>71.63</v>
      </c>
      <c r="AH77" s="107">
        <v>65.150000000000006</v>
      </c>
      <c r="AI77" s="107">
        <v>52.32</v>
      </c>
      <c r="AJ77" s="107">
        <v>43.9</v>
      </c>
      <c r="AK77" s="90">
        <f t="shared" ref="AK77:AK152" si="19">ROUND(J77/VLOOKUP($C77,CapRate,2),0)</f>
        <v>175</v>
      </c>
      <c r="AL77" s="90">
        <f t="shared" ref="AL77:AL152" si="20">ROUND(K77/VLOOKUP($C77,CapRate,3),0)</f>
        <v>189</v>
      </c>
      <c r="AM77" s="108">
        <f t="shared" ref="AM77:AM152" si="21">ROUND(L77/VLOOKUP($C77,CapRate,4),0)</f>
        <v>200</v>
      </c>
      <c r="AN77" s="91">
        <f t="shared" ref="AN77:AN152" si="22">ROUND(M77/VLOOKUP($C77,CapRate,5),0)</f>
        <v>227</v>
      </c>
      <c r="AO77" s="108">
        <f t="shared" si="17"/>
        <v>199</v>
      </c>
      <c r="AP77" s="109">
        <f t="shared" si="18"/>
        <v>248</v>
      </c>
      <c r="AQ77" s="110">
        <f t="shared" si="11"/>
        <v>243</v>
      </c>
      <c r="AR77" s="110">
        <f t="shared" si="11"/>
        <v>243</v>
      </c>
      <c r="AS77" s="110">
        <f t="shared" si="14"/>
        <v>239</v>
      </c>
      <c r="AT77" s="110">
        <f t="shared" si="15"/>
        <v>244</v>
      </c>
      <c r="AU77" s="110">
        <f t="shared" si="12"/>
        <v>239</v>
      </c>
      <c r="AV77" s="109">
        <f t="shared" si="16"/>
        <v>241</v>
      </c>
      <c r="AW77" s="109">
        <f>ROUND(W77/VLOOKUP($C77,CapRate,13),0)</f>
        <v>273</v>
      </c>
      <c r="AX77" s="109">
        <f>ROUND(X77/VLOOKUP($C77,CapRate,14),0)</f>
        <v>307</v>
      </c>
      <c r="AY77" s="109">
        <f>ROUND(Y77/VLOOKUP($C77,CapRate,15),0)</f>
        <v>356</v>
      </c>
      <c r="AZ77" s="109">
        <f>ROUND(Z77/VLOOKUP($C77,CapRate,16),0)</f>
        <v>403</v>
      </c>
      <c r="BA77" s="109">
        <f>ROUND(AA77/VLOOKUP($C77,CapRate,17),0)</f>
        <v>454</v>
      </c>
      <c r="BB77" s="109">
        <f>ROUND(AB77/VLOOKUP($C77,CapRate,18),0)</f>
        <v>462</v>
      </c>
      <c r="BC77" s="109">
        <f>ROUND(AC77/VLOOKUP($C77,CapRate,19),0)</f>
        <v>505</v>
      </c>
      <c r="BD77" s="109">
        <f>ROUND(AD77/VLOOKUP($C77,CapRate,20),0)</f>
        <v>517</v>
      </c>
      <c r="BE77" s="109">
        <f>ROUND(AE77/VLOOKUP($C77,CapRate,21),0)</f>
        <v>514</v>
      </c>
      <c r="BF77" s="109">
        <f>ROUND(AF77/VLOOKUP($C77,CapRate,22),0)</f>
        <v>503</v>
      </c>
      <c r="BG77" s="109">
        <f>ROUND(AG77/VLOOKUP($C77,CapRate,23),0)</f>
        <v>490</v>
      </c>
      <c r="BH77" s="109">
        <f>ROUND(AH77/VLOOKUP($C77,CapRate,24),0)</f>
        <v>444</v>
      </c>
      <c r="BI77" s="109">
        <f>ROUND(AI77/VLOOKUP($C77,CapRate,25),0)</f>
        <v>356</v>
      </c>
      <c r="BJ77" s="109">
        <f>ROUND(AJ77/VLOOKUP($C77,CapRate,26),0)</f>
        <v>298</v>
      </c>
      <c r="BK77" s="113">
        <f t="shared" si="13"/>
        <v>-0.1629213483146067</v>
      </c>
      <c r="BL77" s="114">
        <f>((F75*BK75)+(F76*BK76)+(F77*BK77))</f>
        <v>-0.12583497670430988</v>
      </c>
      <c r="BM77" s="120"/>
      <c r="BN77" s="115"/>
      <c r="BO77" s="115">
        <f>BK77</f>
        <v>-0.1629213483146067</v>
      </c>
      <c r="BP77" s="115"/>
    </row>
    <row r="78" spans="1:68" ht="15.9" customHeight="1" thickTop="1">
      <c r="A78" s="8" t="s">
        <v>65</v>
      </c>
      <c r="B78" s="22"/>
      <c r="C78" s="8" t="s">
        <v>72</v>
      </c>
      <c r="D78" s="23" t="s">
        <v>72</v>
      </c>
      <c r="E78" s="8" t="s">
        <v>39</v>
      </c>
      <c r="F78" s="188">
        <f>[1]AcreSummary!M26</f>
        <v>0.28157688287986593</v>
      </c>
      <c r="G78" s="25"/>
      <c r="H78" s="117"/>
      <c r="I78" s="57">
        <f>[1]Native!E24</f>
        <v>3.96</v>
      </c>
      <c r="J78" s="58">
        <f>[1]Native!F24</f>
        <v>3.97</v>
      </c>
      <c r="K78" s="80">
        <f>[1]Native!G24</f>
        <v>4.1100000000000003</v>
      </c>
      <c r="L78" s="68">
        <f>[1]Native!H24</f>
        <v>4.13</v>
      </c>
      <c r="M78" s="58">
        <f>[1]Native!I24</f>
        <v>4.0999999999999996</v>
      </c>
      <c r="N78" s="81">
        <f>[1]Native!J24</f>
        <v>4.01</v>
      </c>
      <c r="O78" s="62">
        <v>3.95</v>
      </c>
      <c r="P78" s="81">
        <f>[1]Native!K24</f>
        <v>3.84</v>
      </c>
      <c r="Q78" s="82">
        <f>[1]Native!L24</f>
        <v>3.7</v>
      </c>
      <c r="R78" s="83">
        <v>3.7</v>
      </c>
      <c r="S78" s="84">
        <f>[1]Native!M24</f>
        <v>3.71</v>
      </c>
      <c r="T78" s="66">
        <f>[1]Native!N24</f>
        <v>3.67</v>
      </c>
      <c r="U78" s="67">
        <f>[1]Native!O24</f>
        <v>3.51</v>
      </c>
      <c r="V78" s="68">
        <f>[1]Native!P24</f>
        <v>-1.36</v>
      </c>
      <c r="W78" s="68">
        <f>[1]Native!Q24</f>
        <v>-3.12</v>
      </c>
      <c r="X78" s="68">
        <v>-3.89</v>
      </c>
      <c r="Y78" s="68">
        <v>-4.6100000000000003</v>
      </c>
      <c r="Z78" s="68">
        <v>-4.25</v>
      </c>
      <c r="AA78" s="68">
        <v>-3.73</v>
      </c>
      <c r="AB78" s="68">
        <v>-3.13</v>
      </c>
      <c r="AC78" s="68">
        <v>-2.5099999999999998</v>
      </c>
      <c r="AD78" s="68">
        <v>-1</v>
      </c>
      <c r="AE78" s="68">
        <v>0.47</v>
      </c>
      <c r="AF78" s="68">
        <v>0.98</v>
      </c>
      <c r="AG78" s="69">
        <v>1.41</v>
      </c>
      <c r="AH78" s="70">
        <v>1.72</v>
      </c>
      <c r="AI78" s="70">
        <v>1.51</v>
      </c>
      <c r="AJ78" s="70">
        <v>1.48</v>
      </c>
      <c r="AK78" s="8">
        <f t="shared" si="19"/>
        <v>27</v>
      </c>
      <c r="AL78" s="8">
        <f t="shared" si="20"/>
        <v>27</v>
      </c>
      <c r="AM78" s="85">
        <f t="shared" si="21"/>
        <v>27</v>
      </c>
      <c r="AN78" s="23">
        <f t="shared" si="22"/>
        <v>27</v>
      </c>
      <c r="AO78" s="85">
        <f t="shared" si="17"/>
        <v>27</v>
      </c>
      <c r="AP78" s="72">
        <f t="shared" si="18"/>
        <v>27</v>
      </c>
      <c r="AQ78" s="71">
        <f t="shared" si="11"/>
        <v>25</v>
      </c>
      <c r="AR78" s="71">
        <f t="shared" si="11"/>
        <v>25</v>
      </c>
      <c r="AS78" s="71">
        <f t="shared" si="14"/>
        <v>25</v>
      </c>
      <c r="AT78" s="71">
        <f t="shared" si="15"/>
        <v>25</v>
      </c>
      <c r="AU78" s="71">
        <f t="shared" si="12"/>
        <v>24</v>
      </c>
      <c r="AV78" s="122">
        <f>IF(ROUND(V78/VLOOKUP($C78,CapRate,12),0)&gt;10,V78/VLOOKUP($C78,CapRate,12),10)</f>
        <v>10</v>
      </c>
      <c r="AW78" s="122">
        <f>IF(ROUND(W78/VLOOKUP($C78,CapRate,13),0)&gt;10,W78/VLOOKUP($C78,CapRate,13),10)</f>
        <v>10</v>
      </c>
      <c r="AX78" s="122">
        <f>IF(ROUND(X78/VLOOKUP($C78,CapRate,14),0)&gt;10,X78/VLOOKUP($C78,CapRate,14),10)</f>
        <v>10</v>
      </c>
      <c r="AY78" s="122">
        <f>IF(ROUND(Y78/VLOOKUP($C78,CapRate,15),0)&gt;10,Y78/VLOOKUP($C78,CapRate,15),10)</f>
        <v>10</v>
      </c>
      <c r="AZ78" s="122">
        <f>IF(ROUND(Z78/VLOOKUP($C78,CapRate,16),0)&gt;10,Z78/VLOOKUP($C78,CapRate,16),10)</f>
        <v>10</v>
      </c>
      <c r="BA78" s="122">
        <f>IF(ROUND(AA78/VLOOKUP($C78,CapRate,17),0)&gt;10,AA78/VLOOKUP($C78,CapRate,17),10)</f>
        <v>10</v>
      </c>
      <c r="BB78" s="122">
        <f>IF(ROUND(AB78/VLOOKUP($C78,CapRate,18),0)&gt;10,AB78/VLOOKUP($C78,CapRate,18),10)</f>
        <v>10</v>
      </c>
      <c r="BC78" s="122">
        <f>IF(ROUND(AC78/VLOOKUP($C78,CapRate,19),0)&gt;10,AC78/VLOOKUP($C78,CapRate,19),10)</f>
        <v>10</v>
      </c>
      <c r="BD78" s="122">
        <f>IF(ROUND(AD78/VLOOKUP($C78,CapRate,20),0)&gt;10,AD78/VLOOKUP($C78,CapRate,20),10)</f>
        <v>10</v>
      </c>
      <c r="BE78" s="122">
        <f>IF(ROUND(AE78/VLOOKUP($C78,CapRate,21),0)&gt;10,AE78/VLOOKUP($C78,CapRate,21),10)</f>
        <v>10</v>
      </c>
      <c r="BF78" s="122">
        <f>IF(ROUND(AF78/VLOOKUP($C78,CapRate,22),0)&gt;10,AF78/VLOOKUP($C78,CapRate,22),10)</f>
        <v>10</v>
      </c>
      <c r="BG78" s="122">
        <f>IF(ROUND(AG78/VLOOKUP($C78,CapRate,23),0)&gt;10,AG78/VLOOKUP($C78,CapRate,23),10)</f>
        <v>10</v>
      </c>
      <c r="BH78" s="122">
        <f>IF(ROUND(AH78/VLOOKUP($C78,CapRate,24),0)&gt;10,AH78/VLOOKUP($C78,CapRate,24),10)</f>
        <v>10</v>
      </c>
      <c r="BI78" s="122">
        <f>IF(ROUND(AI78/VLOOKUP($C78,CapRate,25),0)&gt;10,AI78/VLOOKUP($C78,CapRate,25),10)</f>
        <v>10</v>
      </c>
      <c r="BJ78" s="122">
        <f>IF(ROUND(AJ78/VLOOKUP($C78,CapRate,26),0)&gt;10,AJ78/VLOOKUP($C78,CapRate,26),10)</f>
        <v>10</v>
      </c>
      <c r="BK78" s="75">
        <f t="shared" si="13"/>
        <v>0</v>
      </c>
      <c r="BL78" s="76"/>
      <c r="BM78" s="77">
        <f>BK78</f>
        <v>0</v>
      </c>
      <c r="BN78" s="77"/>
      <c r="BO78" s="77"/>
      <c r="BP78" s="77"/>
    </row>
    <row r="79" spans="1:68" ht="15.9" customHeight="1">
      <c r="A79" s="8" t="s">
        <v>65</v>
      </c>
      <c r="B79" s="22"/>
      <c r="C79" s="8" t="s">
        <v>72</v>
      </c>
      <c r="D79" s="23"/>
      <c r="E79" s="8" t="s">
        <v>40</v>
      </c>
      <c r="F79" s="188">
        <f>[1]AcreSummary!J26</f>
        <v>0.67136631206042541</v>
      </c>
      <c r="G79" s="25"/>
      <c r="H79" s="117"/>
      <c r="I79" s="57">
        <f>[1]Dry!E26</f>
        <v>10.94</v>
      </c>
      <c r="J79" s="58">
        <f>[1]Dry!F26</f>
        <v>10.85</v>
      </c>
      <c r="K79" s="80">
        <f>[1]Dry!G26</f>
        <v>10.79</v>
      </c>
      <c r="L79" s="68">
        <f>[1]Dry!H26</f>
        <v>10.82</v>
      </c>
      <c r="M79" s="58">
        <f>[1]Dry!I26</f>
        <v>11</v>
      </c>
      <c r="N79" s="81">
        <f>[1]Dry!J26</f>
        <v>11.27</v>
      </c>
      <c r="O79" s="62">
        <v>11.28</v>
      </c>
      <c r="P79" s="81">
        <f>[1]Dry!K26</f>
        <v>11.48</v>
      </c>
      <c r="Q79" s="82">
        <f>[1]Dry!L26</f>
        <v>11.57</v>
      </c>
      <c r="R79" s="83">
        <f>Q79*0.95</f>
        <v>10.9915</v>
      </c>
      <c r="S79" s="84">
        <f>[1]Dry!N26</f>
        <v>11</v>
      </c>
      <c r="T79" s="66">
        <f>[1]Dry!O26</f>
        <v>10.39</v>
      </c>
      <c r="U79" s="67">
        <f>[1]Dry!P26</f>
        <v>9.7100000000000009</v>
      </c>
      <c r="V79" s="68">
        <f>[1]Dry!Q26</f>
        <v>4.7300000000000004</v>
      </c>
      <c r="W79" s="68">
        <f>[1]Dry!R26</f>
        <v>5.3</v>
      </c>
      <c r="X79" s="68">
        <f>[1]Dry!S26</f>
        <v>6.24</v>
      </c>
      <c r="Y79" s="68">
        <f>[1]Dry!T26</f>
        <v>7.75</v>
      </c>
      <c r="Z79" s="68">
        <v>8.2799999999999994</v>
      </c>
      <c r="AA79" s="68">
        <v>8.92</v>
      </c>
      <c r="AB79" s="68">
        <v>9</v>
      </c>
      <c r="AC79" s="68">
        <v>9.18</v>
      </c>
      <c r="AD79" s="68">
        <v>9.08</v>
      </c>
      <c r="AE79" s="68">
        <v>7.81</v>
      </c>
      <c r="AF79" s="68">
        <v>6.3</v>
      </c>
      <c r="AG79" s="69">
        <v>4.09</v>
      </c>
      <c r="AH79" s="70">
        <v>1.3</v>
      </c>
      <c r="AI79" s="70">
        <v>-3.11</v>
      </c>
      <c r="AJ79" s="70">
        <v>-6.3</v>
      </c>
      <c r="AK79" s="8">
        <f t="shared" si="19"/>
        <v>73</v>
      </c>
      <c r="AL79" s="8">
        <f t="shared" si="20"/>
        <v>72</v>
      </c>
      <c r="AM79" s="85">
        <f t="shared" si="21"/>
        <v>71</v>
      </c>
      <c r="AN79" s="23">
        <f t="shared" si="22"/>
        <v>74</v>
      </c>
      <c r="AO79" s="85">
        <f t="shared" si="17"/>
        <v>78</v>
      </c>
      <c r="AP79" s="72">
        <f t="shared" si="18"/>
        <v>79</v>
      </c>
      <c r="AQ79" s="71">
        <f t="shared" si="11"/>
        <v>79</v>
      </c>
      <c r="AR79" s="71">
        <f t="shared" si="11"/>
        <v>75</v>
      </c>
      <c r="AS79" s="71">
        <f t="shared" si="14"/>
        <v>75</v>
      </c>
      <c r="AT79" s="71">
        <f t="shared" si="15"/>
        <v>71</v>
      </c>
      <c r="AU79" s="71">
        <f t="shared" si="12"/>
        <v>66</v>
      </c>
      <c r="AV79" s="72">
        <f t="shared" si="16"/>
        <v>32</v>
      </c>
      <c r="AW79" s="72">
        <f>ROUND(W79/VLOOKUP($C79,CapRate,13),0)</f>
        <v>36</v>
      </c>
      <c r="AX79" s="72">
        <f>ROUND(X79/VLOOKUP($C79,CapRate,14),0)</f>
        <v>42</v>
      </c>
      <c r="AY79" s="72">
        <f>ROUND(Y79/VLOOKUP($C79,CapRate,15),0)</f>
        <v>51</v>
      </c>
      <c r="AZ79" s="72">
        <f>ROUND(Z79/VLOOKUP($C79,CapRate,16),0)</f>
        <v>54</v>
      </c>
      <c r="BA79" s="72">
        <f>ROUND(AA79/VLOOKUP($C79,CapRate,17),0)</f>
        <v>57</v>
      </c>
      <c r="BB79" s="72">
        <f>ROUND(AB79/VLOOKUP($C79,CapRate,18),0)</f>
        <v>56</v>
      </c>
      <c r="BC79" s="72">
        <f>ROUND(AC79/VLOOKUP($C79,CapRate,19),0)</f>
        <v>57</v>
      </c>
      <c r="BD79" s="72">
        <f>ROUND(AD79/VLOOKUP($C79,CapRate,20),0)</f>
        <v>55</v>
      </c>
      <c r="BE79" s="72">
        <f>ROUND(AE79/VLOOKUP($C79,CapRate,21),0)</f>
        <v>47</v>
      </c>
      <c r="BF79" s="72">
        <f>ROUND(AF79/VLOOKUP($C79,CapRate,22),0)</f>
        <v>38</v>
      </c>
      <c r="BG79" s="72">
        <f>ROUND(AG79/VLOOKUP($C79,CapRate,23),0)</f>
        <v>25</v>
      </c>
      <c r="BH79" s="72">
        <f>IF(ROUND(AH79/VLOOKUP($C79,CapRate,24),0)&gt;10,AH79/VLOOKUP($C79,CapRate,24),10)</f>
        <v>10</v>
      </c>
      <c r="BI79" s="72">
        <f>IF(ROUND(AI79/VLOOKUP($C79,CapRate,25),0)&gt;10,AI79/VLOOKUP($C79,CapRate,25),10)</f>
        <v>10</v>
      </c>
      <c r="BJ79" s="72">
        <f>IF(ROUND(AJ79/VLOOKUP($C79,CapRate,26),0)&gt;10,AJ79/VLOOKUP($C79,CapRate,26),10)</f>
        <v>10</v>
      </c>
      <c r="BK79" s="87">
        <f t="shared" si="13"/>
        <v>0</v>
      </c>
      <c r="BL79" s="76"/>
      <c r="BM79" s="77"/>
      <c r="BN79" s="77">
        <f>BK79</f>
        <v>0</v>
      </c>
      <c r="BO79" s="77"/>
      <c r="BP79" s="77"/>
    </row>
    <row r="80" spans="1:68" ht="15.9" customHeight="1" thickBot="1">
      <c r="A80" s="8" t="s">
        <v>65</v>
      </c>
      <c r="B80" s="22"/>
      <c r="C80" s="90" t="s">
        <v>72</v>
      </c>
      <c r="D80" s="91"/>
      <c r="E80" s="90" t="s">
        <v>41</v>
      </c>
      <c r="F80" s="190">
        <f>[1]AcreSummary!K26</f>
        <v>4.7056805059708627E-2</v>
      </c>
      <c r="G80" s="191">
        <f>[1]Irrigated!D26</f>
        <v>100</v>
      </c>
      <c r="H80" s="94">
        <f>[1]Irrigated!E26</f>
        <v>0.46</v>
      </c>
      <c r="I80" s="95"/>
      <c r="J80" s="96">
        <f>[1]Irrigated!H26</f>
        <v>34.590000000000003</v>
      </c>
      <c r="K80" s="97">
        <f>[1]Irrigated!I26</f>
        <v>36.5</v>
      </c>
      <c r="L80" s="98">
        <f>[1]Irrigated!J26</f>
        <v>38.18</v>
      </c>
      <c r="M80" s="96">
        <f>[1]Irrigated!K26</f>
        <v>41.34</v>
      </c>
      <c r="N80" s="99">
        <f>[1]Irrigated!L26</f>
        <v>42.55</v>
      </c>
      <c r="O80" s="100">
        <v>26.9</v>
      </c>
      <c r="P80" s="99">
        <f>[1]Irrigated!M26</f>
        <v>42.23</v>
      </c>
      <c r="Q80" s="101">
        <f>[1]Irrigated!N26</f>
        <v>41.17</v>
      </c>
      <c r="R80" s="102">
        <v>41.17</v>
      </c>
      <c r="S80" s="103">
        <f>[1]Irrigated!O26</f>
        <v>40.049999999999997</v>
      </c>
      <c r="T80" s="104">
        <f>[1]Irrigated!P26</f>
        <v>40.11</v>
      </c>
      <c r="U80" s="105">
        <f>[1]Irrigated!Q26</f>
        <v>39.46</v>
      </c>
      <c r="V80" s="98">
        <f>[1]Irrigated!R26</f>
        <v>39.89</v>
      </c>
      <c r="W80" s="98">
        <f>[1]Irrigated!S26</f>
        <v>44.44</v>
      </c>
      <c r="X80" s="98">
        <v>49.23</v>
      </c>
      <c r="Y80" s="98">
        <v>56.36</v>
      </c>
      <c r="Z80" s="98">
        <v>62.63</v>
      </c>
      <c r="AA80" s="98">
        <v>69.83</v>
      </c>
      <c r="AB80" s="98">
        <v>78.400000000000006</v>
      </c>
      <c r="AC80" s="98">
        <v>84.95</v>
      </c>
      <c r="AD80" s="98">
        <v>87.72</v>
      </c>
      <c r="AE80" s="98">
        <v>88.61</v>
      </c>
      <c r="AF80" s="98">
        <v>87.12</v>
      </c>
      <c r="AG80" s="106">
        <v>86.45</v>
      </c>
      <c r="AH80" s="107">
        <v>81.430000000000007</v>
      </c>
      <c r="AI80" s="107">
        <v>71.59</v>
      </c>
      <c r="AJ80" s="107">
        <v>64.72</v>
      </c>
      <c r="AK80" s="90">
        <f t="shared" si="19"/>
        <v>232</v>
      </c>
      <c r="AL80" s="90">
        <f t="shared" si="20"/>
        <v>244</v>
      </c>
      <c r="AM80" s="108">
        <f t="shared" si="21"/>
        <v>251</v>
      </c>
      <c r="AN80" s="91">
        <f t="shared" si="22"/>
        <v>277</v>
      </c>
      <c r="AO80" s="108">
        <f t="shared" si="17"/>
        <v>185</v>
      </c>
      <c r="AP80" s="109">
        <f t="shared" si="18"/>
        <v>292</v>
      </c>
      <c r="AQ80" s="110">
        <f t="shared" si="11"/>
        <v>282</v>
      </c>
      <c r="AR80" s="110">
        <f t="shared" si="11"/>
        <v>282</v>
      </c>
      <c r="AS80" s="110">
        <f t="shared" si="14"/>
        <v>274</v>
      </c>
      <c r="AT80" s="110">
        <f t="shared" si="15"/>
        <v>274</v>
      </c>
      <c r="AU80" s="110">
        <f t="shared" si="12"/>
        <v>269</v>
      </c>
      <c r="AV80" s="109">
        <f t="shared" si="16"/>
        <v>271</v>
      </c>
      <c r="AW80" s="109">
        <f>ROUND(W80/VLOOKUP($C80,CapRate,13),0)</f>
        <v>298</v>
      </c>
      <c r="AX80" s="109">
        <f>ROUND(X80/VLOOKUP($C80,CapRate,14),0)</f>
        <v>328</v>
      </c>
      <c r="AY80" s="109">
        <f>ROUND(Y80/VLOOKUP($C80,CapRate,15),0)</f>
        <v>370</v>
      </c>
      <c r="AZ80" s="109">
        <f>ROUND(Z80/VLOOKUP($C80,CapRate,16),0)</f>
        <v>407</v>
      </c>
      <c r="BA80" s="109">
        <f>ROUND(AA80/VLOOKUP($C80,CapRate,17),0)</f>
        <v>443</v>
      </c>
      <c r="BB80" s="109">
        <f>ROUND(AB80/VLOOKUP($C80,CapRate,18),0)</f>
        <v>490</v>
      </c>
      <c r="BC80" s="109">
        <f>ROUND(AC80/VLOOKUP($C80,CapRate,19),0)</f>
        <v>524</v>
      </c>
      <c r="BD80" s="109">
        <f>ROUND(AD80/VLOOKUP($C80,CapRate,20),0)</f>
        <v>535</v>
      </c>
      <c r="BE80" s="109">
        <f>ROUND(AE80/VLOOKUP($C80,CapRate,21),0)</f>
        <v>538</v>
      </c>
      <c r="BF80" s="109">
        <f>ROUND(AF80/VLOOKUP($C80,CapRate,22),0)</f>
        <v>527</v>
      </c>
      <c r="BG80" s="109">
        <f>ROUND(AG80/VLOOKUP($C80,CapRate,23),0)</f>
        <v>520</v>
      </c>
      <c r="BH80" s="109">
        <f>ROUND(AH80/VLOOKUP($C80,CapRate,24),0)</f>
        <v>489</v>
      </c>
      <c r="BI80" s="109">
        <f>ROUND(AI80/VLOOKUP($C80,CapRate,25),0)</f>
        <v>429</v>
      </c>
      <c r="BJ80" s="109">
        <f>ROUND(AJ80/VLOOKUP($C80,CapRate,26),0)</f>
        <v>389</v>
      </c>
      <c r="BK80" s="113">
        <f t="shared" si="13"/>
        <v>-9.3240093240093191E-2</v>
      </c>
      <c r="BL80" s="114">
        <f>((F78*BK78)+(F79*BK79)+(F80*BK80))</f>
        <v>-4.3875808913481215E-3</v>
      </c>
      <c r="BM80" s="120"/>
      <c r="BN80" s="115"/>
      <c r="BO80" s="115">
        <f>BK80</f>
        <v>-9.3240093240093191E-2</v>
      </c>
      <c r="BP80" s="115"/>
    </row>
    <row r="81" spans="1:68" ht="15.9" customHeight="1" thickTop="1">
      <c r="A81" s="8" t="s">
        <v>65</v>
      </c>
      <c r="B81" s="22"/>
      <c r="C81" s="8" t="s">
        <v>73</v>
      </c>
      <c r="D81" s="23" t="s">
        <v>73</v>
      </c>
      <c r="E81" s="8" t="s">
        <v>39</v>
      </c>
      <c r="F81" s="188">
        <f>[1]AcreSummary!M27</f>
        <v>5.9701860219154863E-2</v>
      </c>
      <c r="G81" s="25"/>
      <c r="H81" s="117"/>
      <c r="I81" s="57">
        <f>[1]Native!E25</f>
        <v>3.77</v>
      </c>
      <c r="J81" s="58">
        <f>[1]Native!F25</f>
        <v>3.81</v>
      </c>
      <c r="K81" s="80">
        <f>[1]Native!G25</f>
        <v>3.96</v>
      </c>
      <c r="L81" s="68">
        <f>[1]Native!H25</f>
        <v>4</v>
      </c>
      <c r="M81" s="58">
        <f>[1]Native!I25</f>
        <v>3.99</v>
      </c>
      <c r="N81" s="81">
        <f>[1]Native!J25</f>
        <v>3.92</v>
      </c>
      <c r="O81" s="62">
        <v>3.91</v>
      </c>
      <c r="P81" s="81">
        <f>[1]Native!K25</f>
        <v>3.77</v>
      </c>
      <c r="Q81" s="82">
        <f>[1]Native!L25</f>
        <v>3.66</v>
      </c>
      <c r="R81" s="83">
        <v>3.66</v>
      </c>
      <c r="S81" s="84">
        <f>[1]Native!M25</f>
        <v>3.69</v>
      </c>
      <c r="T81" s="66">
        <f>[1]Native!N25</f>
        <v>3.67</v>
      </c>
      <c r="U81" s="67">
        <f>[1]Native!O25</f>
        <v>3.52</v>
      </c>
      <c r="V81" s="68">
        <f>[1]Native!P25</f>
        <v>-1.49</v>
      </c>
      <c r="W81" s="68">
        <f>[1]Native!Q25</f>
        <v>-3.29</v>
      </c>
      <c r="X81" s="68">
        <v>-4.1500000000000004</v>
      </c>
      <c r="Y81" s="68">
        <v>-4.93</v>
      </c>
      <c r="Z81" s="68">
        <v>-4.62</v>
      </c>
      <c r="AA81" s="68">
        <v>-4.1500000000000004</v>
      </c>
      <c r="AB81" s="68">
        <v>-3.57</v>
      </c>
      <c r="AC81" s="68">
        <v>-2.96</v>
      </c>
      <c r="AD81" s="68">
        <v>-1.1499999999999999</v>
      </c>
      <c r="AE81" s="68">
        <v>0.01</v>
      </c>
      <c r="AF81" s="68">
        <v>0.51</v>
      </c>
      <c r="AG81" s="69">
        <v>0.94</v>
      </c>
      <c r="AH81" s="70">
        <v>1.25</v>
      </c>
      <c r="AI81" s="70">
        <v>1.03</v>
      </c>
      <c r="AJ81" s="70">
        <v>0.99</v>
      </c>
      <c r="AK81" s="8">
        <f t="shared" si="19"/>
        <v>28</v>
      </c>
      <c r="AL81" s="8">
        <f t="shared" si="20"/>
        <v>29</v>
      </c>
      <c r="AM81" s="85">
        <f t="shared" si="21"/>
        <v>29</v>
      </c>
      <c r="AN81" s="23">
        <f t="shared" si="22"/>
        <v>29</v>
      </c>
      <c r="AO81" s="85">
        <f t="shared" si="17"/>
        <v>30</v>
      </c>
      <c r="AP81" s="72">
        <f t="shared" si="18"/>
        <v>29</v>
      </c>
      <c r="AQ81" s="71">
        <f t="shared" si="11"/>
        <v>28</v>
      </c>
      <c r="AR81" s="71">
        <f t="shared" si="11"/>
        <v>28</v>
      </c>
      <c r="AS81" s="71">
        <f t="shared" si="14"/>
        <v>28</v>
      </c>
      <c r="AT81" s="71">
        <f t="shared" si="15"/>
        <v>28</v>
      </c>
      <c r="AU81" s="71">
        <f t="shared" si="12"/>
        <v>26</v>
      </c>
      <c r="AV81" s="122">
        <f>IF(ROUND(V81/VLOOKUP($C81,CapRate,12),0)&gt;10,V81/VLOOKUP($C81,CapRate,12),10)</f>
        <v>10</v>
      </c>
      <c r="AW81" s="122">
        <f>IF(ROUND(W81/VLOOKUP($C81,CapRate,13),0)&gt;10,W81/VLOOKUP($C81,CapRate,13),10)</f>
        <v>10</v>
      </c>
      <c r="AX81" s="122">
        <f>IF(ROUND(X81/VLOOKUP($C81,CapRate,14),0)&gt;10,X81/VLOOKUP($C81,CapRate,14),10)</f>
        <v>10</v>
      </c>
      <c r="AY81" s="122">
        <f>IF(ROUND(Y81/VLOOKUP($C81,CapRate,15),0)&gt;10,Y81/VLOOKUP($C81,CapRate,15),10)</f>
        <v>10</v>
      </c>
      <c r="AZ81" s="122">
        <f>IF(ROUND(Z81/VLOOKUP($C81,CapRate,16),0)&gt;10,Z81/VLOOKUP($C81,CapRate,16),10)</f>
        <v>10</v>
      </c>
      <c r="BA81" s="122">
        <f>IF(ROUND(AA81/VLOOKUP($C81,CapRate,17),0)&gt;10,AA81/VLOOKUP($C81,CapRate,17),10)</f>
        <v>10</v>
      </c>
      <c r="BB81" s="122">
        <f>IF(ROUND(AB81/VLOOKUP($C81,CapRate,18),0)&gt;10,AB81/VLOOKUP($C81,CapRate,18),10)</f>
        <v>10</v>
      </c>
      <c r="BC81" s="122">
        <f>IF(ROUND(AC81/VLOOKUP($C81,CapRate,19),0)&gt;10,AC81/VLOOKUP($C81,CapRate,19),10)</f>
        <v>10</v>
      </c>
      <c r="BD81" s="122">
        <f>IF(ROUND(AD81/VLOOKUP($C81,CapRate,20),0)&gt;10,AD81/VLOOKUP($C81,CapRate,20),10)</f>
        <v>10</v>
      </c>
      <c r="BE81" s="122">
        <f>IF(ROUND(AE81/VLOOKUP($C81,CapRate,21),0)&gt;10,AE81/VLOOKUP($C81,CapRate,21),10)</f>
        <v>10</v>
      </c>
      <c r="BF81" s="122">
        <f>IF(ROUND(AF81/VLOOKUP($C81,CapRate,22),0)&gt;10,AF81/VLOOKUP($C81,CapRate,22),10)</f>
        <v>10</v>
      </c>
      <c r="BG81" s="122">
        <f>IF(ROUND(AG81/VLOOKUP($C81,CapRate,23),0)&gt;10,AG81/VLOOKUP($C81,CapRate,23),10)</f>
        <v>10</v>
      </c>
      <c r="BH81" s="122">
        <f>IF(ROUND(AH81/VLOOKUP($C81,CapRate,24),0)&gt;10,AH81/VLOOKUP($C81,CapRate,24),10)</f>
        <v>10</v>
      </c>
      <c r="BI81" s="122">
        <f>IF(ROUND(AI81/VLOOKUP($C81,CapRate,25),0)&gt;10,AI81/VLOOKUP($C81,CapRate,25),10)</f>
        <v>10</v>
      </c>
      <c r="BJ81" s="122">
        <f>IF(ROUND(AJ81/VLOOKUP($C81,CapRate,26),0)&gt;10,AJ81/VLOOKUP($C81,CapRate,26),10)</f>
        <v>10</v>
      </c>
      <c r="BK81" s="75">
        <f t="shared" si="13"/>
        <v>0</v>
      </c>
      <c r="BL81" s="76"/>
      <c r="BM81" s="77">
        <f>BK81</f>
        <v>0</v>
      </c>
      <c r="BN81" s="77"/>
      <c r="BO81" s="77"/>
      <c r="BP81" s="77"/>
    </row>
    <row r="82" spans="1:68" ht="15.9" customHeight="1">
      <c r="A82" s="8" t="s">
        <v>65</v>
      </c>
      <c r="B82" s="22"/>
      <c r="C82" s="8" t="s">
        <v>73</v>
      </c>
      <c r="D82" s="23"/>
      <c r="E82" s="8" t="s">
        <v>40</v>
      </c>
      <c r="F82" s="188">
        <f>[1]AcreSummary!J27</f>
        <v>0.52120026581862677</v>
      </c>
      <c r="G82" s="25"/>
      <c r="H82" s="117"/>
      <c r="I82" s="57">
        <f>[1]Dry!E27</f>
        <v>14.02</v>
      </c>
      <c r="J82" s="58">
        <f>[1]Dry!F27</f>
        <v>14.08</v>
      </c>
      <c r="K82" s="80">
        <f>[1]Dry!G27</f>
        <v>14.07</v>
      </c>
      <c r="L82" s="68">
        <f>[1]Dry!H27</f>
        <v>14.15</v>
      </c>
      <c r="M82" s="58">
        <f>[1]Dry!I27</f>
        <v>14.3</v>
      </c>
      <c r="N82" s="81">
        <f>[1]Dry!J27</f>
        <v>14.51</v>
      </c>
      <c r="O82" s="62">
        <v>14.48</v>
      </c>
      <c r="P82" s="81">
        <f>[1]Dry!K27</f>
        <v>14.73</v>
      </c>
      <c r="Q82" s="82">
        <f>[1]Dry!L27</f>
        <v>14.76</v>
      </c>
      <c r="R82" s="83">
        <f>Q82*0.95</f>
        <v>14.021999999999998</v>
      </c>
      <c r="S82" s="84">
        <f>[1]Dry!N27</f>
        <v>14.02</v>
      </c>
      <c r="T82" s="66">
        <f>[1]Dry!O27</f>
        <v>13.19</v>
      </c>
      <c r="U82" s="67">
        <f>[1]Dry!P27</f>
        <v>12.15</v>
      </c>
      <c r="V82" s="68">
        <f>[1]Dry!Q27</f>
        <v>6.3</v>
      </c>
      <c r="W82" s="68">
        <f>[1]Dry!R27</f>
        <v>7.03</v>
      </c>
      <c r="X82" s="68">
        <f>[1]Dry!S27</f>
        <v>8.4700000000000006</v>
      </c>
      <c r="Y82" s="68">
        <f>[1]Dry!T27</f>
        <v>10.63</v>
      </c>
      <c r="Z82" s="68">
        <v>11.74</v>
      </c>
      <c r="AA82" s="68">
        <v>13.11</v>
      </c>
      <c r="AB82" s="68">
        <v>14.18</v>
      </c>
      <c r="AC82" s="68">
        <v>15.33</v>
      </c>
      <c r="AD82" s="68">
        <v>15.62</v>
      </c>
      <c r="AE82" s="68">
        <v>14.73</v>
      </c>
      <c r="AF82" s="68">
        <v>13.49</v>
      </c>
      <c r="AG82" s="69">
        <v>11.45</v>
      </c>
      <c r="AH82" s="70">
        <v>8.99</v>
      </c>
      <c r="AI82" s="70">
        <v>5.14</v>
      </c>
      <c r="AJ82" s="70">
        <v>2.52</v>
      </c>
      <c r="AK82" s="8">
        <f t="shared" si="19"/>
        <v>102</v>
      </c>
      <c r="AL82" s="8">
        <f t="shared" si="20"/>
        <v>102</v>
      </c>
      <c r="AM82" s="85">
        <f t="shared" si="21"/>
        <v>101</v>
      </c>
      <c r="AN82" s="23">
        <f t="shared" si="22"/>
        <v>104</v>
      </c>
      <c r="AO82" s="85">
        <f t="shared" si="17"/>
        <v>109</v>
      </c>
      <c r="AP82" s="72">
        <f t="shared" si="18"/>
        <v>112</v>
      </c>
      <c r="AQ82" s="71">
        <f t="shared" si="11"/>
        <v>112</v>
      </c>
      <c r="AR82" s="71">
        <f t="shared" si="11"/>
        <v>106</v>
      </c>
      <c r="AS82" s="71">
        <f t="shared" si="14"/>
        <v>106</v>
      </c>
      <c r="AT82" s="71">
        <f t="shared" si="15"/>
        <v>99</v>
      </c>
      <c r="AU82" s="71">
        <f t="shared" si="12"/>
        <v>91</v>
      </c>
      <c r="AV82" s="72">
        <f t="shared" si="16"/>
        <v>47</v>
      </c>
      <c r="AW82" s="72">
        <f>ROUND(W82/VLOOKUP($C82,CapRate,13),0)</f>
        <v>53</v>
      </c>
      <c r="AX82" s="72">
        <f>ROUND(X82/VLOOKUP($C82,CapRate,14),0)</f>
        <v>63</v>
      </c>
      <c r="AY82" s="72">
        <f>ROUND(Y82/VLOOKUP($C82,CapRate,15),0)</f>
        <v>79</v>
      </c>
      <c r="AZ82" s="72">
        <f>ROUND(Z82/VLOOKUP($C82,CapRate,16),0)</f>
        <v>87</v>
      </c>
      <c r="BA82" s="72">
        <f>ROUND(AA82/VLOOKUP($C82,CapRate,17),0)</f>
        <v>97</v>
      </c>
      <c r="BB82" s="72">
        <f>ROUND(AB82/VLOOKUP($C82,CapRate,18),0)</f>
        <v>104</v>
      </c>
      <c r="BC82" s="72">
        <f>ROUND(AC82/VLOOKUP($C82,CapRate,19),0)</f>
        <v>109</v>
      </c>
      <c r="BD82" s="72">
        <f>ROUND(AD82/VLOOKUP($C82,CapRate,20),0)</f>
        <v>109</v>
      </c>
      <c r="BE82" s="72">
        <f>ROUND(AE82/VLOOKUP($C82,CapRate,21),0)</f>
        <v>101</v>
      </c>
      <c r="BF82" s="72">
        <f>ROUND(AF82/VLOOKUP($C82,CapRate,22),0)</f>
        <v>91</v>
      </c>
      <c r="BG82" s="72">
        <f>ROUND(AG82/VLOOKUP($C82,CapRate,23),0)</f>
        <v>76</v>
      </c>
      <c r="BH82" s="72">
        <f>ROUND(AH82/VLOOKUP($C82,CapRate,24),0)</f>
        <v>59</v>
      </c>
      <c r="BI82" s="72">
        <f>ROUND(AI82/VLOOKUP($C82,CapRate,25),0)</f>
        <v>33</v>
      </c>
      <c r="BJ82" s="72">
        <f>ROUND(AJ82/VLOOKUP($C82,CapRate,26),0)</f>
        <v>16</v>
      </c>
      <c r="BK82" s="87">
        <f t="shared" si="13"/>
        <v>-0.51515151515151514</v>
      </c>
      <c r="BL82" s="76"/>
      <c r="BM82" s="77"/>
      <c r="BN82" s="77">
        <f>BK82</f>
        <v>-0.51515151515151514</v>
      </c>
      <c r="BO82" s="77"/>
      <c r="BP82" s="77"/>
    </row>
    <row r="83" spans="1:68" ht="15.9" customHeight="1" thickBot="1">
      <c r="A83" s="8" t="s">
        <v>65</v>
      </c>
      <c r="B83" s="22"/>
      <c r="C83" s="90" t="s">
        <v>73</v>
      </c>
      <c r="D83" s="91"/>
      <c r="E83" s="90" t="s">
        <v>41</v>
      </c>
      <c r="F83" s="190">
        <f>[1]AcreSummary!K27</f>
        <v>0.41909787396221826</v>
      </c>
      <c r="G83" s="191">
        <f>[1]Irrigated!D27</f>
        <v>500</v>
      </c>
      <c r="H83" s="94">
        <f>[1]Irrigated!E27</f>
        <v>0.28000000000000003</v>
      </c>
      <c r="I83" s="95"/>
      <c r="J83" s="96">
        <f>[1]Irrigated!H27</f>
        <v>20.74</v>
      </c>
      <c r="K83" s="97">
        <f>[1]Irrigated!I27</f>
        <v>22.87</v>
      </c>
      <c r="L83" s="98">
        <f>[1]Irrigated!J27</f>
        <v>24.61</v>
      </c>
      <c r="M83" s="96">
        <f>[1]Irrigated!K27</f>
        <v>28</v>
      </c>
      <c r="N83" s="99">
        <f>[1]Irrigated!L27</f>
        <v>29.25</v>
      </c>
      <c r="O83" s="100">
        <v>22.3</v>
      </c>
      <c r="P83" s="99">
        <f>[1]Irrigated!M27</f>
        <v>28.12</v>
      </c>
      <c r="Q83" s="101">
        <f>[1]Irrigated!N27</f>
        <v>25.15</v>
      </c>
      <c r="R83" s="102">
        <v>25.15</v>
      </c>
      <c r="S83" s="103">
        <f>[1]Irrigated!O27</f>
        <v>22.9</v>
      </c>
      <c r="T83" s="104">
        <f>[1]Irrigated!P27</f>
        <v>21.73</v>
      </c>
      <c r="U83" s="105">
        <f>[1]Irrigated!Q27</f>
        <v>19.89</v>
      </c>
      <c r="V83" s="98">
        <f>[1]Irrigated!R27</f>
        <v>17.78</v>
      </c>
      <c r="W83" s="98">
        <f>[1]Irrigated!S27</f>
        <v>23.49</v>
      </c>
      <c r="X83" s="98">
        <v>28.79</v>
      </c>
      <c r="Y83" s="98">
        <v>36.909999999999997</v>
      </c>
      <c r="Z83" s="98">
        <v>43.76</v>
      </c>
      <c r="AA83" s="98">
        <v>51</v>
      </c>
      <c r="AB83" s="98">
        <v>59.74</v>
      </c>
      <c r="AC83" s="98">
        <v>65.67</v>
      </c>
      <c r="AD83" s="98">
        <v>51.95</v>
      </c>
      <c r="AE83" s="98">
        <v>49.16</v>
      </c>
      <c r="AF83" s="98">
        <v>46.49</v>
      </c>
      <c r="AG83" s="106">
        <v>44.11</v>
      </c>
      <c r="AH83" s="107">
        <v>37.67</v>
      </c>
      <c r="AI83" s="107">
        <v>25.19</v>
      </c>
      <c r="AJ83" s="107">
        <v>16.5</v>
      </c>
      <c r="AK83" s="90">
        <f t="shared" si="19"/>
        <v>151</v>
      </c>
      <c r="AL83" s="90">
        <f t="shared" si="20"/>
        <v>166</v>
      </c>
      <c r="AM83" s="108">
        <f t="shared" si="21"/>
        <v>176</v>
      </c>
      <c r="AN83" s="91">
        <f t="shared" si="22"/>
        <v>204</v>
      </c>
      <c r="AO83" s="108">
        <f t="shared" si="17"/>
        <v>168</v>
      </c>
      <c r="AP83" s="109">
        <f t="shared" si="18"/>
        <v>214</v>
      </c>
      <c r="AQ83" s="110">
        <f t="shared" si="11"/>
        <v>190</v>
      </c>
      <c r="AR83" s="110">
        <f t="shared" si="11"/>
        <v>190</v>
      </c>
      <c r="AS83" s="110">
        <f t="shared" si="14"/>
        <v>173</v>
      </c>
      <c r="AT83" s="110">
        <f t="shared" si="15"/>
        <v>163</v>
      </c>
      <c r="AU83" s="110">
        <f t="shared" si="12"/>
        <v>149</v>
      </c>
      <c r="AV83" s="109">
        <f t="shared" si="16"/>
        <v>133</v>
      </c>
      <c r="AW83" s="109">
        <f>ROUND(W83/VLOOKUP($C83,CapRate,13),0)</f>
        <v>176</v>
      </c>
      <c r="AX83" s="109">
        <f>ROUND(X83/VLOOKUP($C83,CapRate,14),0)</f>
        <v>215</v>
      </c>
      <c r="AY83" s="109">
        <f>ROUND(Y83/VLOOKUP($C83,CapRate,15),0)</f>
        <v>276</v>
      </c>
      <c r="AZ83" s="109">
        <f>ROUND(Z83/VLOOKUP($C83,CapRate,16),0)</f>
        <v>326</v>
      </c>
      <c r="BA83" s="109">
        <f>ROUND(AA83/VLOOKUP($C83,CapRate,17),0)</f>
        <v>376</v>
      </c>
      <c r="BB83" s="109">
        <f>ROUND(AB83/VLOOKUP($C83,CapRate,18),0)</f>
        <v>437</v>
      </c>
      <c r="BC83" s="109">
        <f>ROUND(AC83/VLOOKUP($C83,CapRate,19),0)</f>
        <v>467</v>
      </c>
      <c r="BD83" s="109">
        <f>ROUND(AD83/VLOOKUP($C83,CapRate,20),0)</f>
        <v>363</v>
      </c>
      <c r="BE83" s="109">
        <f>ROUND(AE83/VLOOKUP($C83,CapRate,21),0)</f>
        <v>338</v>
      </c>
      <c r="BF83" s="109">
        <f>ROUND(AF83/VLOOKUP($C83,CapRate,22),0)</f>
        <v>315</v>
      </c>
      <c r="BG83" s="109">
        <f>ROUND(AG83/VLOOKUP($C83,CapRate,23),0)</f>
        <v>294</v>
      </c>
      <c r="BH83" s="109">
        <f>ROUND(AH83/VLOOKUP($C83,CapRate,24),0)</f>
        <v>248</v>
      </c>
      <c r="BI83" s="109">
        <f>ROUND(AI83/VLOOKUP($C83,CapRate,25),0)</f>
        <v>164</v>
      </c>
      <c r="BJ83" s="109">
        <f>ROUND(AJ83/VLOOKUP($C83,CapRate,26),0)</f>
        <v>108</v>
      </c>
      <c r="BK83" s="113">
        <f t="shared" si="13"/>
        <v>-0.34146341463414631</v>
      </c>
      <c r="BL83" s="114">
        <f>((F81*BK81)+(F82*BK82)+(F83*BK83))</f>
        <v>-0.41160369774288819</v>
      </c>
      <c r="BM83" s="120"/>
      <c r="BN83" s="115"/>
      <c r="BO83" s="115">
        <f>BK83</f>
        <v>-0.34146341463414631</v>
      </c>
      <c r="BP83" s="115"/>
    </row>
    <row r="84" spans="1:68" ht="15.9" customHeight="1" thickTop="1">
      <c r="A84" s="8" t="s">
        <v>65</v>
      </c>
      <c r="B84" s="22"/>
      <c r="C84" s="8" t="s">
        <v>74</v>
      </c>
      <c r="D84" s="23" t="s">
        <v>74</v>
      </c>
      <c r="E84" s="8" t="s">
        <v>39</v>
      </c>
      <c r="F84" s="188">
        <f>[1]AcreSummary!M28</f>
        <v>0.3870303986203899</v>
      </c>
      <c r="G84" s="25"/>
      <c r="H84" s="117"/>
      <c r="I84" s="57">
        <f>[1]Native!E26</f>
        <v>5.37</v>
      </c>
      <c r="J84" s="58">
        <f>[1]Native!F26</f>
        <v>5.47</v>
      </c>
      <c r="K84" s="80">
        <f>[1]Native!G26</f>
        <v>5.73</v>
      </c>
      <c r="L84" s="68">
        <f>[1]Native!H26</f>
        <v>5.81</v>
      </c>
      <c r="M84" s="58">
        <f>[1]Native!I26</f>
        <v>5.83</v>
      </c>
      <c r="N84" s="81">
        <f>[1]Native!J26</f>
        <v>5.81</v>
      </c>
      <c r="O84" s="62">
        <v>5.77</v>
      </c>
      <c r="P84" s="81">
        <f>[1]Native!K26</f>
        <v>5.65</v>
      </c>
      <c r="Q84" s="82">
        <f>[1]Native!L26</f>
        <v>5.5</v>
      </c>
      <c r="R84" s="83">
        <v>5.5</v>
      </c>
      <c r="S84" s="84">
        <f>[1]Native!M26</f>
        <v>5.53</v>
      </c>
      <c r="T84" s="66">
        <f>[1]Native!N26</f>
        <v>5.52</v>
      </c>
      <c r="U84" s="67">
        <f>[1]Native!O26</f>
        <v>5.29</v>
      </c>
      <c r="V84" s="68">
        <f>[1]Native!P26</f>
        <v>0.5</v>
      </c>
      <c r="W84" s="68">
        <f>[1]Native!Q26</f>
        <v>-1.23</v>
      </c>
      <c r="X84" s="68">
        <v>-1.96</v>
      </c>
      <c r="Y84" s="68">
        <v>-2.64</v>
      </c>
      <c r="Z84" s="68">
        <v>-2.2200000000000002</v>
      </c>
      <c r="AA84" s="68">
        <v>-1.63</v>
      </c>
      <c r="AB84" s="68">
        <v>-0.97</v>
      </c>
      <c r="AC84" s="68">
        <v>-0.28999999999999998</v>
      </c>
      <c r="AD84" s="68">
        <v>1.6</v>
      </c>
      <c r="AE84" s="68">
        <v>3.06</v>
      </c>
      <c r="AF84" s="68">
        <v>3.59</v>
      </c>
      <c r="AG84" s="69">
        <v>4.0199999999999996</v>
      </c>
      <c r="AH84" s="70">
        <v>4.34</v>
      </c>
      <c r="AI84" s="70">
        <v>4.17</v>
      </c>
      <c r="AJ84" s="70">
        <v>4.18</v>
      </c>
      <c r="AK84" s="8">
        <f t="shared" si="19"/>
        <v>35</v>
      </c>
      <c r="AL84" s="8">
        <f t="shared" si="20"/>
        <v>36</v>
      </c>
      <c r="AM84" s="85">
        <f t="shared" si="21"/>
        <v>36</v>
      </c>
      <c r="AN84" s="23">
        <f t="shared" si="22"/>
        <v>37</v>
      </c>
      <c r="AO84" s="85">
        <f t="shared" si="17"/>
        <v>37</v>
      </c>
      <c r="AP84" s="72">
        <f t="shared" si="18"/>
        <v>37</v>
      </c>
      <c r="AQ84" s="71">
        <f t="shared" si="11"/>
        <v>36</v>
      </c>
      <c r="AR84" s="71">
        <f t="shared" si="11"/>
        <v>36</v>
      </c>
      <c r="AS84" s="71">
        <f t="shared" si="14"/>
        <v>36</v>
      </c>
      <c r="AT84" s="71">
        <f t="shared" si="15"/>
        <v>36</v>
      </c>
      <c r="AU84" s="71">
        <f t="shared" si="12"/>
        <v>34</v>
      </c>
      <c r="AV84" s="122">
        <f>IF(ROUND(V84/VLOOKUP($C84,CapRate,12),0)&gt;10,V84/VLOOKUP($C84,CapRate,12),10)</f>
        <v>10</v>
      </c>
      <c r="AW84" s="122">
        <f>IF(ROUND(W84/VLOOKUP($C84,CapRate,13),0)&gt;10,W84/VLOOKUP($C84,CapRate,13),10)</f>
        <v>10</v>
      </c>
      <c r="AX84" s="122">
        <f>IF(ROUND(X84/VLOOKUP($C84,CapRate,14),0)&gt;10,X84/VLOOKUP($C84,CapRate,14),10)</f>
        <v>10</v>
      </c>
      <c r="AY84" s="122">
        <f>IF(ROUND(Y84/VLOOKUP($C84,CapRate,15),0)&gt;10,Y84/VLOOKUP($C84,CapRate,15),10)</f>
        <v>10</v>
      </c>
      <c r="AZ84" s="122">
        <f>IF(ROUND(Z84/VLOOKUP($C84,CapRate,16),0)&gt;10,Z84/VLOOKUP($C84,CapRate,16),10)</f>
        <v>10</v>
      </c>
      <c r="BA84" s="122">
        <f>IF(ROUND(AA84/VLOOKUP($C84,CapRate,17),0)&gt;10,AA84/VLOOKUP($C84,CapRate,17),10)</f>
        <v>10</v>
      </c>
      <c r="BB84" s="122">
        <f>IF(ROUND(AB84/VLOOKUP($C84,CapRate,18),0)&gt;10,AB84/VLOOKUP($C84,CapRate,18),10)</f>
        <v>10</v>
      </c>
      <c r="BC84" s="122">
        <f>IF(ROUND(AC84/VLOOKUP($C84,CapRate,19),0)&gt;10,AC84/VLOOKUP($C84,CapRate,19),10)</f>
        <v>10</v>
      </c>
      <c r="BD84" s="122">
        <f>IF(ROUND(AD84/VLOOKUP($C84,CapRate,20),0)&gt;10,AD84/VLOOKUP($C84,CapRate,20),10)</f>
        <v>10</v>
      </c>
      <c r="BE84" s="122">
        <f>IF(ROUND(AE84/VLOOKUP($C84,CapRate,21),0)&gt;10,AE84/VLOOKUP($C84,CapRate,21),10)</f>
        <v>19.160926737633062</v>
      </c>
      <c r="BF84" s="122">
        <f>IF(ROUND(AF84/VLOOKUP($C84,CapRate,22),0)&gt;10,AF84/VLOOKUP($C84,CapRate,22),10)</f>
        <v>22.395508421709295</v>
      </c>
      <c r="BG84" s="122">
        <f>IF(ROUND(AG84/VLOOKUP($C84,CapRate,23),0)&gt;10,AG84/VLOOKUP($C84,CapRate,23),10)</f>
        <v>24.891640866873061</v>
      </c>
      <c r="BH84" s="122">
        <f>IF(ROUND(AH84/VLOOKUP($C84,CapRate,24),0)&gt;10,AH84/VLOOKUP($C84,CapRate,24),10)</f>
        <v>26.642111724984655</v>
      </c>
      <c r="BI84" s="122">
        <v>25</v>
      </c>
      <c r="BJ84" s="122">
        <v>25</v>
      </c>
      <c r="BK84" s="75">
        <f t="shared" si="13"/>
        <v>0</v>
      </c>
      <c r="BL84" s="76"/>
      <c r="BM84" s="127">
        <f>BK84</f>
        <v>0</v>
      </c>
      <c r="BN84" s="77"/>
      <c r="BO84" s="77"/>
      <c r="BP84" s="77"/>
    </row>
    <row r="85" spans="1:68" ht="15.9" customHeight="1">
      <c r="A85" s="8" t="s">
        <v>65</v>
      </c>
      <c r="B85" s="22"/>
      <c r="C85" s="8" t="s">
        <v>74</v>
      </c>
      <c r="D85" s="23"/>
      <c r="E85" s="8" t="s">
        <v>40</v>
      </c>
      <c r="F85" s="188">
        <f>[1]AcreSummary!J28</f>
        <v>0.5660332604203745</v>
      </c>
      <c r="G85" s="25"/>
      <c r="H85" s="117"/>
      <c r="I85" s="57">
        <f>[1]Dry!E28</f>
        <v>11.09</v>
      </c>
      <c r="J85" s="58">
        <f>[1]Dry!F28</f>
        <v>11.07</v>
      </c>
      <c r="K85" s="80">
        <f>[1]Dry!G28</f>
        <v>10.85</v>
      </c>
      <c r="L85" s="68">
        <f>[1]Dry!H28</f>
        <v>10.79</v>
      </c>
      <c r="M85" s="58">
        <f>[1]Dry!I28</f>
        <v>10.85</v>
      </c>
      <c r="N85" s="81">
        <f>[1]Dry!J28</f>
        <v>11.06</v>
      </c>
      <c r="O85" s="62">
        <v>11.07</v>
      </c>
      <c r="P85" s="81">
        <f>[1]Dry!K28</f>
        <v>11.44</v>
      </c>
      <c r="Q85" s="82">
        <f>[1]Dry!L28</f>
        <v>11.72</v>
      </c>
      <c r="R85" s="83">
        <f>Q85*0.95</f>
        <v>11.134</v>
      </c>
      <c r="S85" s="84">
        <f>[1]Dry!N28</f>
        <v>11.39</v>
      </c>
      <c r="T85" s="66">
        <f>[1]Dry!O28</f>
        <v>11.14</v>
      </c>
      <c r="U85" s="67">
        <f>[1]Dry!P28</f>
        <v>10.74</v>
      </c>
      <c r="V85" s="68">
        <f>[1]Dry!Q28</f>
        <v>7.79</v>
      </c>
      <c r="W85" s="68">
        <f>[1]Dry!R28</f>
        <v>9.1300000000000008</v>
      </c>
      <c r="X85" s="68">
        <f>[1]Dry!S28</f>
        <v>10.79</v>
      </c>
      <c r="Y85" s="68">
        <f>[1]Dry!T28</f>
        <v>13.31</v>
      </c>
      <c r="Z85" s="68">
        <v>15.18</v>
      </c>
      <c r="AA85" s="68">
        <v>17.649999999999999</v>
      </c>
      <c r="AB85" s="68">
        <v>19.88</v>
      </c>
      <c r="AC85" s="68">
        <v>21.66</v>
      </c>
      <c r="AD85" s="68">
        <v>22.55</v>
      </c>
      <c r="AE85" s="68">
        <v>22.15</v>
      </c>
      <c r="AF85" s="68">
        <v>21.61</v>
      </c>
      <c r="AG85" s="69">
        <v>20.079999999999998</v>
      </c>
      <c r="AH85" s="70">
        <v>17.690000000000001</v>
      </c>
      <c r="AI85" s="70">
        <v>14.33</v>
      </c>
      <c r="AJ85" s="70">
        <v>11.74</v>
      </c>
      <c r="AK85" s="8">
        <f t="shared" si="19"/>
        <v>70</v>
      </c>
      <c r="AL85" s="8">
        <f t="shared" si="20"/>
        <v>68</v>
      </c>
      <c r="AM85" s="85">
        <f t="shared" si="21"/>
        <v>67</v>
      </c>
      <c r="AN85" s="23">
        <f t="shared" si="22"/>
        <v>68</v>
      </c>
      <c r="AO85" s="85">
        <f t="shared" si="17"/>
        <v>72</v>
      </c>
      <c r="AP85" s="72">
        <f t="shared" si="18"/>
        <v>75</v>
      </c>
      <c r="AQ85" s="71">
        <f t="shared" si="11"/>
        <v>76</v>
      </c>
      <c r="AR85" s="71">
        <f t="shared" si="11"/>
        <v>73</v>
      </c>
      <c r="AS85" s="71">
        <f t="shared" si="14"/>
        <v>74</v>
      </c>
      <c r="AT85" s="71">
        <f t="shared" si="15"/>
        <v>73</v>
      </c>
      <c r="AU85" s="71">
        <f t="shared" si="12"/>
        <v>70</v>
      </c>
      <c r="AV85" s="72">
        <f t="shared" si="16"/>
        <v>49</v>
      </c>
      <c r="AW85" s="72">
        <f>ROUND(W85/VLOOKUP($C85,CapRate,13),0)</f>
        <v>57</v>
      </c>
      <c r="AX85" s="72">
        <f>ROUND(X85/VLOOKUP($C85,CapRate,14),0)</f>
        <v>67</v>
      </c>
      <c r="AY85" s="72">
        <f>ROUND(Y85/VLOOKUP($C85,CapRate,15),0)</f>
        <v>83</v>
      </c>
      <c r="AZ85" s="72">
        <f>ROUND(Z85/VLOOKUP($C85,CapRate,16),0)</f>
        <v>95</v>
      </c>
      <c r="BA85" s="72">
        <f>ROUND(AA85/VLOOKUP($C85,CapRate,17),0)</f>
        <v>110</v>
      </c>
      <c r="BB85" s="72">
        <f>ROUND(AB85/VLOOKUP($C85,CapRate,18),0)</f>
        <v>124</v>
      </c>
      <c r="BC85" s="72">
        <f>ROUND(AC85/VLOOKUP($C85,CapRate,19),0)</f>
        <v>136</v>
      </c>
      <c r="BD85" s="72">
        <f>ROUND(AD85/VLOOKUP($C85,CapRate,20),0)</f>
        <v>141</v>
      </c>
      <c r="BE85" s="72">
        <f>ROUND(AE85/VLOOKUP($C85,CapRate,21),0)</f>
        <v>139</v>
      </c>
      <c r="BF85" s="72">
        <f>ROUND(AF85/VLOOKUP($C85,CapRate,22),0)</f>
        <v>135</v>
      </c>
      <c r="BG85" s="72">
        <f>ROUND(AG85/VLOOKUP($C85,CapRate,23),0)</f>
        <v>124</v>
      </c>
      <c r="BH85" s="72">
        <f>ROUND(AH85/VLOOKUP($C85,CapRate,24),0)</f>
        <v>109</v>
      </c>
      <c r="BI85" s="72">
        <f>ROUND(AI85/VLOOKUP($C85,CapRate,25),0)</f>
        <v>87</v>
      </c>
      <c r="BJ85" s="72">
        <f>ROUND(AJ85/VLOOKUP($C85,CapRate,26),0)</f>
        <v>71</v>
      </c>
      <c r="BK85" s="87">
        <f t="shared" si="13"/>
        <v>-0.18390804597701149</v>
      </c>
      <c r="BL85" s="76"/>
      <c r="BM85" s="77"/>
      <c r="BN85" s="77">
        <f>BK85</f>
        <v>-0.18390804597701149</v>
      </c>
      <c r="BO85" s="77"/>
      <c r="BP85" s="77"/>
    </row>
    <row r="86" spans="1:68" ht="15.9" customHeight="1" thickBot="1">
      <c r="A86" s="8" t="s">
        <v>65</v>
      </c>
      <c r="B86" s="22"/>
      <c r="C86" s="90" t="s">
        <v>74</v>
      </c>
      <c r="D86" s="91"/>
      <c r="E86" s="90" t="s">
        <v>41</v>
      </c>
      <c r="F86" s="190">
        <f>[1]AcreSummary!K28</f>
        <v>4.6936340959235691E-2</v>
      </c>
      <c r="G86" s="191">
        <f>[1]Irrigated!D28</f>
        <v>100</v>
      </c>
      <c r="H86" s="94">
        <f>[1]Irrigated!E28</f>
        <v>0.77</v>
      </c>
      <c r="I86" s="95"/>
      <c r="J86" s="96">
        <f>[1]Irrigated!H28</f>
        <v>43.08</v>
      </c>
      <c r="K86" s="97">
        <f>[1]Irrigated!I28</f>
        <v>47.24</v>
      </c>
      <c r="L86" s="98">
        <f>[1]Irrigated!J28</f>
        <v>50.56</v>
      </c>
      <c r="M86" s="96">
        <f>[1]Irrigated!K28</f>
        <v>55.36</v>
      </c>
      <c r="N86" s="99">
        <f>[1]Irrigated!L28</f>
        <v>57.57</v>
      </c>
      <c r="O86" s="100">
        <v>49.97</v>
      </c>
      <c r="P86" s="99">
        <f>[1]Irrigated!M28</f>
        <v>58.16</v>
      </c>
      <c r="Q86" s="101">
        <f>[1]Irrigated!N28</f>
        <v>56.94</v>
      </c>
      <c r="R86" s="102">
        <v>56.94</v>
      </c>
      <c r="S86" s="103">
        <f>[1]Irrigated!O28</f>
        <v>55.59</v>
      </c>
      <c r="T86" s="104">
        <f>[1]Irrigated!P28</f>
        <v>55.37</v>
      </c>
      <c r="U86" s="105">
        <f>[1]Irrigated!Q28</f>
        <v>52.55</v>
      </c>
      <c r="V86" s="98">
        <f>[1]Irrigated!R28</f>
        <v>47.96</v>
      </c>
      <c r="W86" s="98">
        <f>[1]Irrigated!S28</f>
        <v>52.93</v>
      </c>
      <c r="X86" s="98">
        <v>58.32</v>
      </c>
      <c r="Y86" s="98">
        <v>66.209999999999994</v>
      </c>
      <c r="Z86" s="98">
        <v>73.42</v>
      </c>
      <c r="AA86" s="98">
        <v>81.67</v>
      </c>
      <c r="AB86" s="98">
        <v>91.23</v>
      </c>
      <c r="AC86" s="98">
        <v>98.6</v>
      </c>
      <c r="AD86" s="98">
        <v>102.27</v>
      </c>
      <c r="AE86" s="98">
        <v>104.03</v>
      </c>
      <c r="AF86" s="98">
        <v>103.95</v>
      </c>
      <c r="AG86" s="106">
        <v>103.33</v>
      </c>
      <c r="AH86" s="107">
        <v>98.12</v>
      </c>
      <c r="AI86" s="107">
        <v>87.24</v>
      </c>
      <c r="AJ86" s="107">
        <v>80.3</v>
      </c>
      <c r="AK86" s="90">
        <f t="shared" si="19"/>
        <v>272</v>
      </c>
      <c r="AL86" s="90">
        <f t="shared" si="20"/>
        <v>296</v>
      </c>
      <c r="AM86" s="108">
        <f t="shared" si="21"/>
        <v>312</v>
      </c>
      <c r="AN86" s="91">
        <f t="shared" si="22"/>
        <v>348</v>
      </c>
      <c r="AO86" s="108">
        <f t="shared" si="17"/>
        <v>325</v>
      </c>
      <c r="AP86" s="109">
        <f t="shared" si="18"/>
        <v>381</v>
      </c>
      <c r="AQ86" s="110">
        <f t="shared" si="11"/>
        <v>371</v>
      </c>
      <c r="AR86" s="110">
        <f t="shared" si="11"/>
        <v>371</v>
      </c>
      <c r="AS86" s="110">
        <f t="shared" si="14"/>
        <v>363</v>
      </c>
      <c r="AT86" s="110">
        <f t="shared" si="15"/>
        <v>361</v>
      </c>
      <c r="AU86" s="110">
        <f t="shared" si="12"/>
        <v>341</v>
      </c>
      <c r="AV86" s="109">
        <f t="shared" si="16"/>
        <v>301</v>
      </c>
      <c r="AW86" s="109">
        <f>ROUND(W86/VLOOKUP($C86,CapRate,13),0)</f>
        <v>330</v>
      </c>
      <c r="AX86" s="109">
        <f>ROUND(X86/VLOOKUP($C86,CapRate,14),0)</f>
        <v>364</v>
      </c>
      <c r="AY86" s="109">
        <f>ROUND(Y86/VLOOKUP($C86,CapRate,15),0)</f>
        <v>414</v>
      </c>
      <c r="AZ86" s="109">
        <f>ROUND(Z86/VLOOKUP($C86,CapRate,16),0)</f>
        <v>460</v>
      </c>
      <c r="BA86" s="109">
        <f>ROUND(AA86/VLOOKUP($C86,CapRate,17),0)</f>
        <v>510</v>
      </c>
      <c r="BB86" s="109">
        <f>ROUND(AB86/VLOOKUP($C86,CapRate,18),0)</f>
        <v>571</v>
      </c>
      <c r="BC86" s="109">
        <f>ROUND(AC86/VLOOKUP($C86,CapRate,19),0)</f>
        <v>617</v>
      </c>
      <c r="BD86" s="109">
        <f>ROUND(AD86/VLOOKUP($C86,CapRate,20),0)</f>
        <v>642</v>
      </c>
      <c r="BE86" s="109">
        <f>ROUND(AE86/VLOOKUP($C86,CapRate,21),0)</f>
        <v>651</v>
      </c>
      <c r="BF86" s="109">
        <f>ROUND(AF86/VLOOKUP($C86,CapRate,22),0)</f>
        <v>648</v>
      </c>
      <c r="BG86" s="109">
        <f>ROUND(AG86/VLOOKUP($C86,CapRate,23),0)</f>
        <v>640</v>
      </c>
      <c r="BH86" s="109">
        <f>ROUND(AH86/VLOOKUP($C86,CapRate,24),0)</f>
        <v>602</v>
      </c>
      <c r="BI86" s="109">
        <f>ROUND(AI86/VLOOKUP($C86,CapRate,25),0)</f>
        <v>532</v>
      </c>
      <c r="BJ86" s="109">
        <f>ROUND(AJ86/VLOOKUP($C86,CapRate,26),0)</f>
        <v>488</v>
      </c>
      <c r="BK86" s="113">
        <f t="shared" si="13"/>
        <v>-8.2706766917293284E-2</v>
      </c>
      <c r="BL86" s="114">
        <f>((F84*BK84)+(F85*BK85)+(F86*BK86))</f>
        <v>-0.10798002389357406</v>
      </c>
      <c r="BM86" s="120"/>
      <c r="BN86" s="115"/>
      <c r="BO86" s="115">
        <f>BK86</f>
        <v>-8.2706766917293284E-2</v>
      </c>
      <c r="BP86" s="115"/>
    </row>
    <row r="87" spans="1:68" ht="15.9" customHeight="1" thickTop="1">
      <c r="A87" s="8" t="s">
        <v>65</v>
      </c>
      <c r="B87" s="22"/>
      <c r="C87" s="8" t="s">
        <v>75</v>
      </c>
      <c r="D87" s="23" t="s">
        <v>75</v>
      </c>
      <c r="E87" s="8" t="s">
        <v>39</v>
      </c>
      <c r="F87" s="188">
        <f>[1]AcreSummary!M29</f>
        <v>0.28161406809761552</v>
      </c>
      <c r="G87" s="25"/>
      <c r="H87" s="117"/>
      <c r="I87" s="57">
        <f>[1]Native!E27</f>
        <v>3.82</v>
      </c>
      <c r="J87" s="58">
        <f>[1]Native!F27</f>
        <v>3.72</v>
      </c>
      <c r="K87" s="80">
        <f>[1]Native!G27</f>
        <v>3.86</v>
      </c>
      <c r="L87" s="68">
        <f>[1]Native!H27</f>
        <v>3.84</v>
      </c>
      <c r="M87" s="58">
        <f>[1]Native!I27</f>
        <v>3.79</v>
      </c>
      <c r="N87" s="81">
        <f>[1]Native!J27</f>
        <v>3.67</v>
      </c>
      <c r="O87" s="62">
        <v>3.72</v>
      </c>
      <c r="P87" s="81">
        <f>[1]Native!K27</f>
        <v>3.48</v>
      </c>
      <c r="Q87" s="82">
        <f>[1]Native!L27</f>
        <v>3.32</v>
      </c>
      <c r="R87" s="83">
        <v>3.32</v>
      </c>
      <c r="S87" s="84">
        <f>[1]Native!M27</f>
        <v>3.3</v>
      </c>
      <c r="T87" s="66">
        <f>[1]Native!N27</f>
        <v>3.24</v>
      </c>
      <c r="U87" s="67">
        <f>[1]Native!O27</f>
        <v>3.06</v>
      </c>
      <c r="V87" s="68">
        <f>[1]Native!P27</f>
        <v>-1.7</v>
      </c>
      <c r="W87" s="68">
        <f>[1]Native!Q27</f>
        <v>-3.42</v>
      </c>
      <c r="X87" s="68">
        <v>-4.1500000000000004</v>
      </c>
      <c r="Y87" s="68">
        <v>-4.84</v>
      </c>
      <c r="Z87" s="68">
        <v>-4.4400000000000004</v>
      </c>
      <c r="AA87" s="68">
        <v>-3.87</v>
      </c>
      <c r="AB87" s="68">
        <v>-3.28</v>
      </c>
      <c r="AC87" s="68">
        <v>-2.67</v>
      </c>
      <c r="AD87" s="68">
        <v>-1.19</v>
      </c>
      <c r="AE87" s="68">
        <v>0.28999999999999998</v>
      </c>
      <c r="AF87" s="68">
        <v>0.87</v>
      </c>
      <c r="AG87" s="69">
        <v>1.3</v>
      </c>
      <c r="AH87" s="70">
        <v>1.61</v>
      </c>
      <c r="AI87" s="70">
        <v>1.4</v>
      </c>
      <c r="AJ87" s="70">
        <v>1.36</v>
      </c>
      <c r="AK87" s="8">
        <f t="shared" si="19"/>
        <v>27</v>
      </c>
      <c r="AL87" s="8">
        <f t="shared" si="20"/>
        <v>28</v>
      </c>
      <c r="AM87" s="85">
        <f t="shared" si="21"/>
        <v>28</v>
      </c>
      <c r="AN87" s="23">
        <f t="shared" si="22"/>
        <v>28</v>
      </c>
      <c r="AO87" s="85">
        <f t="shared" si="17"/>
        <v>28</v>
      </c>
      <c r="AP87" s="72">
        <f t="shared" si="18"/>
        <v>27</v>
      </c>
      <c r="AQ87" s="71">
        <f t="shared" si="11"/>
        <v>25</v>
      </c>
      <c r="AR87" s="71">
        <f t="shared" si="11"/>
        <v>25</v>
      </c>
      <c r="AS87" s="71">
        <f t="shared" si="14"/>
        <v>25</v>
      </c>
      <c r="AT87" s="71">
        <f t="shared" si="15"/>
        <v>25</v>
      </c>
      <c r="AU87" s="71">
        <f t="shared" si="12"/>
        <v>23</v>
      </c>
      <c r="AV87" s="122">
        <f>IF(ROUND(V87/VLOOKUP($C87,CapRate,12),0)&gt;10,V87/VLOOKUP($C87,CapRate,12),10)</f>
        <v>10</v>
      </c>
      <c r="AW87" s="122">
        <f>IF(ROUND(W87/VLOOKUP($C87,CapRate,13),0)&gt;10,W87/VLOOKUP($C87,CapRate,13),10)</f>
        <v>10</v>
      </c>
      <c r="AX87" s="122">
        <f>IF(ROUND(X87/VLOOKUP($C87,CapRate,14),0)&gt;10,X87/VLOOKUP($C87,CapRate,14),10)</f>
        <v>10</v>
      </c>
      <c r="AY87" s="122">
        <f>IF(ROUND(Y87/VLOOKUP($C87,CapRate,15),0)&gt;10,Y87/VLOOKUP($C87,CapRate,15),10)</f>
        <v>10</v>
      </c>
      <c r="AZ87" s="122">
        <f>IF(ROUND(Z87/VLOOKUP($C87,CapRate,16),0)&gt;10,Z87/VLOOKUP($C87,CapRate,16),10)</f>
        <v>10</v>
      </c>
      <c r="BA87" s="122">
        <f>IF(ROUND(AA87/VLOOKUP($C87,CapRate,17),0)&gt;10,AA87/VLOOKUP($C87,CapRate,17),10)</f>
        <v>10</v>
      </c>
      <c r="BB87" s="122">
        <f>IF(ROUND(AB87/VLOOKUP($C87,CapRate,18),0)&gt;10,AB87/VLOOKUP($C87,CapRate,18),10)</f>
        <v>10</v>
      </c>
      <c r="BC87" s="122">
        <f>IF(ROUND(AC87/VLOOKUP($C87,CapRate,19),0)&gt;10,AC87/VLOOKUP($C87,CapRate,19),10)</f>
        <v>10</v>
      </c>
      <c r="BD87" s="122">
        <f>IF(ROUND(AD87/VLOOKUP($C87,CapRate,20),0)&gt;10,AD87/VLOOKUP($C87,CapRate,20),10)</f>
        <v>10</v>
      </c>
      <c r="BE87" s="122">
        <f>IF(ROUND(AE87/VLOOKUP($C87,CapRate,21),0)&gt;10,AE87/VLOOKUP($C87,CapRate,21),10)</f>
        <v>10</v>
      </c>
      <c r="BF87" s="122">
        <f>IF(ROUND(AF87/VLOOKUP($C87,CapRate,22),0)&gt;10,AF87/VLOOKUP($C87,CapRate,22),10)</f>
        <v>10</v>
      </c>
      <c r="BG87" s="122">
        <f>IF(ROUND(AG87/VLOOKUP($C87,CapRate,23),0)&gt;10,AG87/VLOOKUP($C87,CapRate,23),10)</f>
        <v>10</v>
      </c>
      <c r="BH87" s="122">
        <f>IF(ROUND(AH87/VLOOKUP($C87,CapRate,24),0)&gt;10,AH87/VLOOKUP($C87,CapRate,24),10)</f>
        <v>10.516002612671457</v>
      </c>
      <c r="BI87" s="122">
        <f>IF(ROUND(AI87/VLOOKUP($C87,CapRate,25),0)&gt;10,AI87/VLOOKUP($C87,CapRate,25),10)</f>
        <v>10</v>
      </c>
      <c r="BJ87" s="122">
        <f>IF(ROUND(AJ87/VLOOKUP($C87,CapRate,26),0)&gt;10,AJ87/VLOOKUP($C87,CapRate,26),10)</f>
        <v>10</v>
      </c>
      <c r="BK87" s="75">
        <f t="shared" si="13"/>
        <v>0</v>
      </c>
      <c r="BL87" s="76"/>
      <c r="BM87" s="77">
        <f>BK87</f>
        <v>0</v>
      </c>
      <c r="BN87" s="77"/>
      <c r="BO87" s="77"/>
      <c r="BP87" s="77"/>
    </row>
    <row r="88" spans="1:68" ht="15.9" customHeight="1">
      <c r="A88" s="8" t="s">
        <v>65</v>
      </c>
      <c r="B88" s="22"/>
      <c r="C88" s="8" t="s">
        <v>75</v>
      </c>
      <c r="D88" s="23"/>
      <c r="E88" s="8" t="s">
        <v>40</v>
      </c>
      <c r="F88" s="188">
        <f>[1]AcreSummary!J29</f>
        <v>0.55746435969527064</v>
      </c>
      <c r="G88" s="25"/>
      <c r="H88" s="117"/>
      <c r="I88" s="57">
        <f>[1]Dry!E29</f>
        <v>11.77</v>
      </c>
      <c r="J88" s="58">
        <f>[1]Dry!F29</f>
        <v>11.55</v>
      </c>
      <c r="K88" s="80">
        <f>[1]Dry!G29</f>
        <v>11.63</v>
      </c>
      <c r="L88" s="68">
        <f>[1]Dry!H29</f>
        <v>11.81</v>
      </c>
      <c r="M88" s="58">
        <f>[1]Dry!I29</f>
        <v>12.08</v>
      </c>
      <c r="N88" s="81">
        <f>[1]Dry!J29</f>
        <v>12.43</v>
      </c>
      <c r="O88" s="62">
        <v>12.49</v>
      </c>
      <c r="P88" s="81">
        <f>[1]Dry!K29</f>
        <v>12.54</v>
      </c>
      <c r="Q88" s="82">
        <f>[1]Dry!L29</f>
        <v>12.63</v>
      </c>
      <c r="R88" s="83">
        <f>Q88*0.95</f>
        <v>11.9985</v>
      </c>
      <c r="S88" s="84">
        <f>[1]Dry!N29</f>
        <v>12.04</v>
      </c>
      <c r="T88" s="66">
        <f>[1]Dry!O29</f>
        <v>11.77</v>
      </c>
      <c r="U88" s="67">
        <f>[1]Dry!P29</f>
        <v>11.11</v>
      </c>
      <c r="V88" s="68">
        <f>[1]Dry!Q29</f>
        <v>7.74</v>
      </c>
      <c r="W88" s="68">
        <f>[1]Dry!R29</f>
        <v>8.9</v>
      </c>
      <c r="X88" s="68">
        <f>[1]Dry!S29</f>
        <v>10.55</v>
      </c>
      <c r="Y88" s="68">
        <f>[1]Dry!T29</f>
        <v>13.04</v>
      </c>
      <c r="Z88" s="68">
        <v>14.34</v>
      </c>
      <c r="AA88" s="68">
        <v>15.82</v>
      </c>
      <c r="AB88" s="68">
        <v>16.38</v>
      </c>
      <c r="AC88" s="68">
        <v>17.22</v>
      </c>
      <c r="AD88" s="68">
        <v>17.329999999999998</v>
      </c>
      <c r="AE88" s="68">
        <v>16.149999999999999</v>
      </c>
      <c r="AF88" s="68">
        <v>14.58</v>
      </c>
      <c r="AG88" s="69">
        <v>11.97</v>
      </c>
      <c r="AH88" s="70">
        <v>8.92</v>
      </c>
      <c r="AI88" s="70">
        <v>4.9800000000000004</v>
      </c>
      <c r="AJ88" s="70">
        <v>2.2400000000000002</v>
      </c>
      <c r="AK88" s="8">
        <f t="shared" si="19"/>
        <v>85</v>
      </c>
      <c r="AL88" s="8">
        <f t="shared" si="20"/>
        <v>85</v>
      </c>
      <c r="AM88" s="85">
        <f t="shared" si="21"/>
        <v>85</v>
      </c>
      <c r="AN88" s="23">
        <f t="shared" si="22"/>
        <v>89</v>
      </c>
      <c r="AO88" s="85">
        <f t="shared" si="17"/>
        <v>95</v>
      </c>
      <c r="AP88" s="72">
        <f t="shared" si="18"/>
        <v>96</v>
      </c>
      <c r="AQ88" s="71">
        <f t="shared" si="11"/>
        <v>97</v>
      </c>
      <c r="AR88" s="71">
        <f t="shared" si="11"/>
        <v>92</v>
      </c>
      <c r="AS88" s="71">
        <f t="shared" si="14"/>
        <v>92</v>
      </c>
      <c r="AT88" s="71">
        <f t="shared" si="15"/>
        <v>90</v>
      </c>
      <c r="AU88" s="71">
        <f t="shared" si="12"/>
        <v>85</v>
      </c>
      <c r="AV88" s="72">
        <f t="shared" si="16"/>
        <v>58</v>
      </c>
      <c r="AW88" s="72">
        <f>ROUND(W88/VLOOKUP($C88,CapRate,13),0)</f>
        <v>66</v>
      </c>
      <c r="AX88" s="72">
        <f>ROUND(X88/VLOOKUP($C88,CapRate,14),0)</f>
        <v>78</v>
      </c>
      <c r="AY88" s="72">
        <f>ROUND(Y88/VLOOKUP($C88,CapRate,15),0)</f>
        <v>96</v>
      </c>
      <c r="AZ88" s="72">
        <f>ROUND(Z88/VLOOKUP($C88,CapRate,16),0)</f>
        <v>105</v>
      </c>
      <c r="BA88" s="72">
        <f>ROUND(AA88/VLOOKUP($C88,CapRate,17),0)</f>
        <v>114</v>
      </c>
      <c r="BB88" s="72">
        <f>ROUND(AB88/VLOOKUP($C88,CapRate,18),0)</f>
        <v>116</v>
      </c>
      <c r="BC88" s="72">
        <f>ROUND(AC88/VLOOKUP($C88,CapRate,19),0)</f>
        <v>119</v>
      </c>
      <c r="BD88" s="72">
        <f>ROUND(AD88/VLOOKUP($C88,CapRate,20),0)</f>
        <v>118</v>
      </c>
      <c r="BE88" s="72">
        <f>ROUND(AE88/VLOOKUP($C88,CapRate,21),0)</f>
        <v>109</v>
      </c>
      <c r="BF88" s="72">
        <f>ROUND(AF88/VLOOKUP($C88,CapRate,22),0)</f>
        <v>98</v>
      </c>
      <c r="BG88" s="72">
        <f>ROUND(AG88/VLOOKUP($C88,CapRate,23),0)</f>
        <v>79</v>
      </c>
      <c r="BH88" s="72">
        <f>ROUND(AH88/VLOOKUP($C88,CapRate,24),0)</f>
        <v>58</v>
      </c>
      <c r="BI88" s="72">
        <f>ROUND(AI88/VLOOKUP($C88,CapRate,25),0)</f>
        <v>32</v>
      </c>
      <c r="BJ88" s="72">
        <f>ROUND(AJ88/VLOOKUP($C88,CapRate,26),0)</f>
        <v>15</v>
      </c>
      <c r="BK88" s="87">
        <f t="shared" si="13"/>
        <v>-0.53125</v>
      </c>
      <c r="BL88" s="76"/>
      <c r="BM88" s="77"/>
      <c r="BN88" s="77">
        <f>BK88</f>
        <v>-0.53125</v>
      </c>
      <c r="BO88" s="77"/>
      <c r="BP88" s="77"/>
    </row>
    <row r="89" spans="1:68" ht="15.9" customHeight="1" thickBot="1">
      <c r="A89" s="8" t="s">
        <v>65</v>
      </c>
      <c r="B89" s="22"/>
      <c r="C89" s="90" t="s">
        <v>75</v>
      </c>
      <c r="D89" s="91"/>
      <c r="E89" s="90" t="s">
        <v>41</v>
      </c>
      <c r="F89" s="190">
        <f>[1]AcreSummary!K29</f>
        <v>0.16092157220711387</v>
      </c>
      <c r="G89" s="191">
        <f>[1]Irrigated!D29</f>
        <v>300</v>
      </c>
      <c r="H89" s="94">
        <f>[1]Irrigated!E29</f>
        <v>0.43</v>
      </c>
      <c r="I89" s="95"/>
      <c r="J89" s="96">
        <f>[1]Irrigated!H29</f>
        <v>9.77</v>
      </c>
      <c r="K89" s="97">
        <f>[1]Irrigated!I29</f>
        <v>10.49</v>
      </c>
      <c r="L89" s="98">
        <f>[1]Irrigated!J29</f>
        <v>10.86</v>
      </c>
      <c r="M89" s="96">
        <f>[1]Irrigated!K29</f>
        <v>12.42</v>
      </c>
      <c r="N89" s="99">
        <f>[1]Irrigated!L29</f>
        <v>12.28</v>
      </c>
      <c r="O89" s="100">
        <v>18.95</v>
      </c>
      <c r="P89" s="99">
        <f>[1]Irrigated!M29</f>
        <v>10.15</v>
      </c>
      <c r="Q89" s="101">
        <f>[1]Irrigated!N29</f>
        <v>9.56</v>
      </c>
      <c r="R89" s="102">
        <v>9.56</v>
      </c>
      <c r="S89" s="103">
        <f>[1]Irrigated!O29</f>
        <v>9.5500000000000007</v>
      </c>
      <c r="T89" s="104">
        <f>[1]Irrigated!P29</f>
        <v>10.77</v>
      </c>
      <c r="U89" s="105">
        <f>[1]Irrigated!Q29</f>
        <v>11.93</v>
      </c>
      <c r="V89" s="98">
        <f>[1]Irrigated!R29</f>
        <v>20.99</v>
      </c>
      <c r="W89" s="98">
        <f>[1]Irrigated!S29</f>
        <v>26.06</v>
      </c>
      <c r="X89" s="98">
        <v>31.16</v>
      </c>
      <c r="Y89" s="98">
        <v>38.85</v>
      </c>
      <c r="Z89" s="98">
        <v>45.7</v>
      </c>
      <c r="AA89" s="98">
        <v>52.69</v>
      </c>
      <c r="AB89" s="98">
        <v>61.13</v>
      </c>
      <c r="AC89" s="98">
        <v>67.12</v>
      </c>
      <c r="AD89" s="98">
        <v>68.37</v>
      </c>
      <c r="AE89" s="98">
        <v>67.42</v>
      </c>
      <c r="AF89" s="98">
        <v>65.63</v>
      </c>
      <c r="AG89" s="106">
        <v>63.38</v>
      </c>
      <c r="AH89" s="107">
        <v>56.99</v>
      </c>
      <c r="AI89" s="107">
        <v>44.77</v>
      </c>
      <c r="AJ89" s="107">
        <v>36.4</v>
      </c>
      <c r="AK89" s="90">
        <f t="shared" si="19"/>
        <v>72</v>
      </c>
      <c r="AL89" s="90">
        <f t="shared" si="20"/>
        <v>77</v>
      </c>
      <c r="AM89" s="108">
        <f t="shared" si="21"/>
        <v>78</v>
      </c>
      <c r="AN89" s="91">
        <f t="shared" si="22"/>
        <v>91</v>
      </c>
      <c r="AO89" s="108">
        <f t="shared" si="17"/>
        <v>144</v>
      </c>
      <c r="AP89" s="109">
        <f t="shared" si="18"/>
        <v>78</v>
      </c>
      <c r="AQ89" s="110">
        <f t="shared" si="11"/>
        <v>73</v>
      </c>
      <c r="AR89" s="110">
        <f t="shared" si="11"/>
        <v>73</v>
      </c>
      <c r="AS89" s="110">
        <f t="shared" si="14"/>
        <v>73</v>
      </c>
      <c r="AT89" s="110">
        <f t="shared" si="15"/>
        <v>82</v>
      </c>
      <c r="AU89" s="110">
        <f t="shared" si="12"/>
        <v>91</v>
      </c>
      <c r="AV89" s="109">
        <f t="shared" si="16"/>
        <v>157</v>
      </c>
      <c r="AW89" s="109">
        <f>ROUND(W89/VLOOKUP($C89,CapRate,13),0)</f>
        <v>194</v>
      </c>
      <c r="AX89" s="109">
        <f>ROUND(X89/VLOOKUP($C89,CapRate,14),0)</f>
        <v>231</v>
      </c>
      <c r="AY89" s="109">
        <f>ROUND(Y89/VLOOKUP($C89,CapRate,15),0)</f>
        <v>285</v>
      </c>
      <c r="AZ89" s="109">
        <f>ROUND(Z89/VLOOKUP($C89,CapRate,16),0)</f>
        <v>333</v>
      </c>
      <c r="BA89" s="109">
        <f>ROUND(AA89/VLOOKUP($C89,CapRate,17),0)</f>
        <v>379</v>
      </c>
      <c r="BB89" s="109">
        <f>ROUND(AB89/VLOOKUP($C89,CapRate,18),0)</f>
        <v>433</v>
      </c>
      <c r="BC89" s="109">
        <f>ROUND(AC89/VLOOKUP($C89,CapRate,19),0)</f>
        <v>464</v>
      </c>
      <c r="BD89" s="109">
        <f>ROUND(AD89/VLOOKUP($C89,CapRate,20),0)</f>
        <v>465</v>
      </c>
      <c r="BE89" s="109">
        <f>ROUND(AE89/VLOOKUP($C89,CapRate,21),0)</f>
        <v>454</v>
      </c>
      <c r="BF89" s="109">
        <f>ROUND(AF89/VLOOKUP($C89,CapRate,22),0)</f>
        <v>439</v>
      </c>
      <c r="BG89" s="109">
        <f>ROUND(AG89/VLOOKUP($C89,CapRate,23),0)</f>
        <v>419</v>
      </c>
      <c r="BH89" s="109">
        <f>ROUND(AH89/VLOOKUP($C89,CapRate,24),0)</f>
        <v>372</v>
      </c>
      <c r="BI89" s="109">
        <f>ROUND(AI89/VLOOKUP($C89,CapRate,25),0)</f>
        <v>290</v>
      </c>
      <c r="BJ89" s="109">
        <f>ROUND(AJ89/VLOOKUP($C89,CapRate,26),0)</f>
        <v>237</v>
      </c>
      <c r="BK89" s="113">
        <f t="shared" si="13"/>
        <v>-0.1827586206896552</v>
      </c>
      <c r="BL89" s="114">
        <f>((F87*BK87)+(F88*BK88)+(F89*BK89))</f>
        <v>-0.32556274566389543</v>
      </c>
      <c r="BM89" s="120"/>
      <c r="BN89" s="115"/>
      <c r="BO89" s="115">
        <f>BK89</f>
        <v>-0.1827586206896552</v>
      </c>
      <c r="BP89" s="115"/>
    </row>
    <row r="90" spans="1:68" ht="15.9" customHeight="1" thickTop="1">
      <c r="A90" s="8" t="s">
        <v>65</v>
      </c>
      <c r="B90" s="22"/>
      <c r="C90" s="8" t="s">
        <v>76</v>
      </c>
      <c r="D90" s="23" t="s">
        <v>76</v>
      </c>
      <c r="E90" s="8" t="s">
        <v>39</v>
      </c>
      <c r="F90" s="188">
        <f>[1]AcreSummary!M30</f>
        <v>0.46905984259665251</v>
      </c>
      <c r="G90" s="25"/>
      <c r="H90" s="117"/>
      <c r="I90" s="57">
        <f>[1]Native!E28</f>
        <v>4.29</v>
      </c>
      <c r="J90" s="58">
        <f>[1]Native!F28</f>
        <v>4.09</v>
      </c>
      <c r="K90" s="80">
        <f>[1]Native!G28</f>
        <v>4.22</v>
      </c>
      <c r="L90" s="68">
        <f>[1]Native!H28</f>
        <v>4.2300000000000004</v>
      </c>
      <c r="M90" s="58">
        <f>[1]Native!I28</f>
        <v>4.2</v>
      </c>
      <c r="N90" s="81">
        <f>[1]Native!J28</f>
        <v>4.12</v>
      </c>
      <c r="O90" s="62">
        <v>4.2</v>
      </c>
      <c r="P90" s="81">
        <f>[1]Native!K28</f>
        <v>3.94</v>
      </c>
      <c r="Q90" s="82">
        <f>[1]Native!L28</f>
        <v>3.64</v>
      </c>
      <c r="R90" s="83">
        <v>3.64</v>
      </c>
      <c r="S90" s="84">
        <f>[1]Native!M28</f>
        <v>3.64</v>
      </c>
      <c r="T90" s="66">
        <f>[1]Native!N28</f>
        <v>3.59</v>
      </c>
      <c r="U90" s="67">
        <f>[1]Native!O28</f>
        <v>3.59</v>
      </c>
      <c r="V90" s="68">
        <f>[1]Native!P28</f>
        <v>-0.98</v>
      </c>
      <c r="W90" s="68">
        <f>[1]Native!Q28</f>
        <v>-2.72</v>
      </c>
      <c r="X90" s="68">
        <v>-3.46</v>
      </c>
      <c r="Y90" s="68">
        <v>-4.16</v>
      </c>
      <c r="Z90" s="68">
        <v>-3.77</v>
      </c>
      <c r="AA90" s="68">
        <v>-3.22</v>
      </c>
      <c r="AB90" s="68">
        <v>-2.61</v>
      </c>
      <c r="AC90" s="68">
        <v>-1.97</v>
      </c>
      <c r="AD90" s="68">
        <v>-0.46</v>
      </c>
      <c r="AE90" s="68">
        <v>1.02</v>
      </c>
      <c r="AF90" s="68">
        <v>1.53</v>
      </c>
      <c r="AG90" s="69">
        <v>1.96</v>
      </c>
      <c r="AH90" s="70">
        <v>2.2799999999999998</v>
      </c>
      <c r="AI90" s="70">
        <v>2.0699999999999998</v>
      </c>
      <c r="AJ90" s="70">
        <v>2.04</v>
      </c>
      <c r="AK90" s="8">
        <f t="shared" si="19"/>
        <v>28</v>
      </c>
      <c r="AL90" s="8">
        <f t="shared" si="20"/>
        <v>29</v>
      </c>
      <c r="AM90" s="85">
        <f t="shared" si="21"/>
        <v>29</v>
      </c>
      <c r="AN90" s="23">
        <f t="shared" si="22"/>
        <v>29</v>
      </c>
      <c r="AO90" s="85">
        <f t="shared" si="17"/>
        <v>30</v>
      </c>
      <c r="AP90" s="72">
        <f t="shared" si="18"/>
        <v>29</v>
      </c>
      <c r="AQ90" s="71">
        <f t="shared" si="11"/>
        <v>26</v>
      </c>
      <c r="AR90" s="71">
        <f t="shared" si="11"/>
        <v>26</v>
      </c>
      <c r="AS90" s="71">
        <f t="shared" si="14"/>
        <v>26</v>
      </c>
      <c r="AT90" s="71">
        <f t="shared" si="15"/>
        <v>26</v>
      </c>
      <c r="AU90" s="71">
        <f t="shared" si="12"/>
        <v>26</v>
      </c>
      <c r="AV90" s="122">
        <f>IF(ROUND(V90/VLOOKUP($C90,CapRate,12),0)&gt;10,V90/VLOOKUP($C90,CapRate,12),10)</f>
        <v>10</v>
      </c>
      <c r="AW90" s="122">
        <f>IF(ROUND(W90/VLOOKUP($C90,CapRate,13),0)&gt;10,W90/VLOOKUP($C90,CapRate,13),10)</f>
        <v>10</v>
      </c>
      <c r="AX90" s="122">
        <f>IF(ROUND(X90/VLOOKUP($C90,CapRate,14),0)&gt;10,X90/VLOOKUP($C90,CapRate,14),10)</f>
        <v>10</v>
      </c>
      <c r="AY90" s="122">
        <f>IF(ROUND(Y90/VLOOKUP($C90,CapRate,15),0)&gt;10,Y90/VLOOKUP($C90,CapRate,15),10)</f>
        <v>10</v>
      </c>
      <c r="AZ90" s="122">
        <f>IF(ROUND(Z90/VLOOKUP($C90,CapRate,16),0)&gt;10,Z90/VLOOKUP($C90,CapRate,16),10)</f>
        <v>10</v>
      </c>
      <c r="BA90" s="122">
        <f>IF(ROUND(AA90/VLOOKUP($C90,CapRate,17),0)&gt;10,AA90/VLOOKUP($C90,CapRate,17),10)</f>
        <v>10</v>
      </c>
      <c r="BB90" s="122">
        <f>IF(ROUND(AB90/VLOOKUP($C90,CapRate,18),0)&gt;10,AB90/VLOOKUP($C90,CapRate,18),10)</f>
        <v>10</v>
      </c>
      <c r="BC90" s="122">
        <f>IF(ROUND(AC90/VLOOKUP($C90,CapRate,19),0)&gt;10,AC90/VLOOKUP($C90,CapRate,19),10)</f>
        <v>10</v>
      </c>
      <c r="BD90" s="122">
        <f>IF(ROUND(AD90/VLOOKUP($C90,CapRate,20),0)&gt;10,AD90/VLOOKUP($C90,CapRate,20),10)</f>
        <v>10</v>
      </c>
      <c r="BE90" s="122">
        <f>IF(ROUND(AE90/VLOOKUP($C90,CapRate,21),0)&gt;10,AE90/VLOOKUP($C90,CapRate,21),10)</f>
        <v>10</v>
      </c>
      <c r="BF90" s="122">
        <f>IF(ROUND(AF90/VLOOKUP($C90,CapRate,22),0)&gt;10,AF90/VLOOKUP($C90,CapRate,22),10)</f>
        <v>10</v>
      </c>
      <c r="BG90" s="122">
        <f>IF(ROUND(AG90/VLOOKUP($C90,CapRate,23),0)&gt;10,AG90/VLOOKUP($C90,CapRate,23),10)</f>
        <v>13.180901143241426</v>
      </c>
      <c r="BH90" s="122">
        <f>IF(ROUND(AH90/VLOOKUP($C90,CapRate,24),0)&gt;10,AH90/VLOOKUP($C90,CapRate,24),10)</f>
        <v>15.230460921843687</v>
      </c>
      <c r="BI90" s="122">
        <f>IF(ROUND(AI90/VLOOKUP($C90,CapRate,25),0)&gt;10,AI90/VLOOKUP($C90,CapRate,25),10)</f>
        <v>13.754152823920265</v>
      </c>
      <c r="BJ90" s="122">
        <f>IF(ROUND(AJ90/VLOOKUP($C90,CapRate,26),0)&gt;10,AJ90/VLOOKUP($C90,CapRate,26),10)</f>
        <v>13.456464379947228</v>
      </c>
      <c r="BK90" s="75">
        <f t="shared" si="13"/>
        <v>-2.1643531796107229E-2</v>
      </c>
      <c r="BL90" s="76"/>
      <c r="BM90" s="77">
        <f>BK90</f>
        <v>-2.1643531796107229E-2</v>
      </c>
      <c r="BN90" s="77"/>
      <c r="BO90" s="77"/>
      <c r="BP90" s="77"/>
    </row>
    <row r="91" spans="1:68" ht="15.9" customHeight="1">
      <c r="A91" s="8" t="s">
        <v>65</v>
      </c>
      <c r="B91" s="22"/>
      <c r="C91" s="8" t="s">
        <v>76</v>
      </c>
      <c r="D91" s="23"/>
      <c r="E91" s="8" t="s">
        <v>40</v>
      </c>
      <c r="F91" s="188">
        <f>[1]AcreSummary!J30</f>
        <v>0.33764256293130829</v>
      </c>
      <c r="G91" s="25"/>
      <c r="H91" s="117"/>
      <c r="I91" s="57">
        <f>[1]Dry!E30</f>
        <v>12.4</v>
      </c>
      <c r="J91" s="58">
        <f>[1]Dry!F30</f>
        <v>12.25</v>
      </c>
      <c r="K91" s="80">
        <f>[1]Dry!G30</f>
        <v>11.93</v>
      </c>
      <c r="L91" s="68">
        <f>[1]Dry!H30</f>
        <v>11.73</v>
      </c>
      <c r="M91" s="58">
        <f>[1]Dry!I30</f>
        <v>11.55</v>
      </c>
      <c r="N91" s="81">
        <f>[1]Dry!J30</f>
        <v>11.55</v>
      </c>
      <c r="O91" s="62">
        <v>11.63</v>
      </c>
      <c r="P91" s="81">
        <f>[1]Dry!K30</f>
        <v>11.68</v>
      </c>
      <c r="Q91" s="82">
        <f>[1]Dry!L30</f>
        <v>11.73</v>
      </c>
      <c r="R91" s="83">
        <f>Q91*0.95</f>
        <v>11.1435</v>
      </c>
      <c r="S91" s="84">
        <f>[1]Dry!N30</f>
        <v>11.2</v>
      </c>
      <c r="T91" s="66">
        <f>[1]Dry!O30</f>
        <v>10.58</v>
      </c>
      <c r="U91" s="67">
        <f>[1]Dry!P30</f>
        <v>10.29</v>
      </c>
      <c r="V91" s="68">
        <f>[1]Dry!Q30</f>
        <v>7.06</v>
      </c>
      <c r="W91" s="68">
        <f>[1]Dry!R30</f>
        <v>8.1199999999999992</v>
      </c>
      <c r="X91" s="68">
        <f>[1]Dry!S30</f>
        <v>9.4499999999999993</v>
      </c>
      <c r="Y91" s="68">
        <f>[1]Dry!T30</f>
        <v>11.12</v>
      </c>
      <c r="Z91" s="68">
        <v>12.03</v>
      </c>
      <c r="AA91" s="68">
        <v>12.85</v>
      </c>
      <c r="AB91" s="68">
        <v>14.36</v>
      </c>
      <c r="AC91" s="68">
        <v>15.41</v>
      </c>
      <c r="AD91" s="68">
        <v>15.89</v>
      </c>
      <c r="AE91" s="68">
        <v>15.13</v>
      </c>
      <c r="AF91" s="68">
        <v>14.33</v>
      </c>
      <c r="AG91" s="69">
        <v>12.83</v>
      </c>
      <c r="AH91" s="70">
        <v>10.89</v>
      </c>
      <c r="AI91" s="70">
        <v>8.9</v>
      </c>
      <c r="AJ91" s="70">
        <v>6.91</v>
      </c>
      <c r="AK91" s="8">
        <f t="shared" si="19"/>
        <v>84</v>
      </c>
      <c r="AL91" s="8">
        <f t="shared" si="20"/>
        <v>82</v>
      </c>
      <c r="AM91" s="85">
        <f t="shared" si="21"/>
        <v>79</v>
      </c>
      <c r="AN91" s="23">
        <f t="shared" si="22"/>
        <v>79</v>
      </c>
      <c r="AO91" s="85">
        <f t="shared" si="17"/>
        <v>83</v>
      </c>
      <c r="AP91" s="72">
        <f t="shared" si="18"/>
        <v>85</v>
      </c>
      <c r="AQ91" s="71">
        <f t="shared" si="11"/>
        <v>85</v>
      </c>
      <c r="AR91" s="71">
        <f t="shared" si="11"/>
        <v>80</v>
      </c>
      <c r="AS91" s="71">
        <f t="shared" si="14"/>
        <v>81</v>
      </c>
      <c r="AT91" s="71">
        <f t="shared" si="15"/>
        <v>76</v>
      </c>
      <c r="AU91" s="71">
        <f t="shared" si="12"/>
        <v>74</v>
      </c>
      <c r="AV91" s="72">
        <f t="shared" si="16"/>
        <v>50</v>
      </c>
      <c r="AW91" s="72">
        <f>ROUND(W91/VLOOKUP($C91,CapRate,13),0)</f>
        <v>57</v>
      </c>
      <c r="AX91" s="72">
        <f>ROUND(X91/VLOOKUP($C91,CapRate,14),0)</f>
        <v>66</v>
      </c>
      <c r="AY91" s="72">
        <f>ROUND(Y91/VLOOKUP($C91,CapRate,15),0)</f>
        <v>78</v>
      </c>
      <c r="AZ91" s="72">
        <f>ROUND(Z91/VLOOKUP($C91,CapRate,16),0)</f>
        <v>84</v>
      </c>
      <c r="BA91" s="72">
        <f>ROUND(AA91/VLOOKUP($C91,CapRate,17),0)</f>
        <v>89</v>
      </c>
      <c r="BB91" s="72">
        <f>ROUND(AB91/VLOOKUP($C91,CapRate,18),0)</f>
        <v>99</v>
      </c>
      <c r="BC91" s="72">
        <f>ROUND(AC91/VLOOKUP($C91,CapRate,19),0)</f>
        <v>106</v>
      </c>
      <c r="BD91" s="72">
        <f>ROUND(AD91/VLOOKUP($C91,CapRate,20),0)</f>
        <v>108</v>
      </c>
      <c r="BE91" s="72">
        <f>ROUND(AE91/VLOOKUP($C91,CapRate,21),0)</f>
        <v>103</v>
      </c>
      <c r="BF91" s="72">
        <f>ROUND(AF91/VLOOKUP($C91,CapRate,22),0)</f>
        <v>97</v>
      </c>
      <c r="BG91" s="72">
        <f>ROUND(AG91/VLOOKUP($C91,CapRate,23),0)</f>
        <v>86</v>
      </c>
      <c r="BH91" s="72">
        <f>ROUND(AH91/VLOOKUP($C91,CapRate,24),0)</f>
        <v>73</v>
      </c>
      <c r="BI91" s="72">
        <f>ROUND(AI91/VLOOKUP($C91,CapRate,25),0)</f>
        <v>59</v>
      </c>
      <c r="BJ91" s="72">
        <f>ROUND(AJ91/VLOOKUP($C91,CapRate,26),0)</f>
        <v>46</v>
      </c>
      <c r="BK91" s="87">
        <f t="shared" si="13"/>
        <v>-0.22033898305084743</v>
      </c>
      <c r="BL91" s="76"/>
      <c r="BM91" s="77"/>
      <c r="BN91" s="77">
        <f>BK91</f>
        <v>-0.22033898305084743</v>
      </c>
      <c r="BO91" s="77"/>
      <c r="BP91" s="77"/>
    </row>
    <row r="92" spans="1:68" ht="15.9" customHeight="1" thickBot="1">
      <c r="A92" s="8" t="s">
        <v>65</v>
      </c>
      <c r="B92" s="22"/>
      <c r="C92" s="90" t="s">
        <v>76</v>
      </c>
      <c r="D92" s="91"/>
      <c r="E92" s="90" t="s">
        <v>41</v>
      </c>
      <c r="F92" s="190">
        <f>[1]AcreSummary!K30</f>
        <v>0.19329759447203923</v>
      </c>
      <c r="G92" s="191">
        <f>[1]Irrigated!D30</f>
        <v>400</v>
      </c>
      <c r="H92" s="94">
        <f>[1]Irrigated!E30</f>
        <v>0.67930000000000001</v>
      </c>
      <c r="I92" s="95"/>
      <c r="J92" s="96">
        <f>[1]Irrigated!H30</f>
        <v>20.71</v>
      </c>
      <c r="K92" s="97">
        <f>[1]Irrigated!I30</f>
        <v>23.47</v>
      </c>
      <c r="L92" s="98">
        <f>[1]Irrigated!J30</f>
        <v>25.76</v>
      </c>
      <c r="M92" s="96">
        <f>[1]Irrigated!K30</f>
        <v>29.57</v>
      </c>
      <c r="N92" s="99">
        <f>[1]Irrigated!L30</f>
        <v>30.86</v>
      </c>
      <c r="O92" s="100">
        <v>33.57</v>
      </c>
      <c r="P92" s="99">
        <f>[1]Irrigated!M30</f>
        <v>29.77</v>
      </c>
      <c r="Q92" s="101">
        <f>[1]Irrigated!N30</f>
        <v>26.84</v>
      </c>
      <c r="R92" s="102">
        <v>26.84</v>
      </c>
      <c r="S92" s="103">
        <f>[1]Irrigated!O30</f>
        <v>24.64</v>
      </c>
      <c r="T92" s="104">
        <f>[1]Irrigated!P30</f>
        <v>23.52</v>
      </c>
      <c r="U92" s="105">
        <f>[1]Irrigated!Q30</f>
        <v>21.09</v>
      </c>
      <c r="V92" s="98">
        <f>[1]Irrigated!R30</f>
        <v>18.100000000000001</v>
      </c>
      <c r="W92" s="98">
        <f>[1]Irrigated!S30</f>
        <v>23.82</v>
      </c>
      <c r="X92" s="98">
        <v>29.14</v>
      </c>
      <c r="Y92" s="98">
        <v>37.299999999999997</v>
      </c>
      <c r="Z92" s="98">
        <v>44.18</v>
      </c>
      <c r="AA92" s="98">
        <v>51.46</v>
      </c>
      <c r="AB92" s="98">
        <v>60.24</v>
      </c>
      <c r="AC92" s="98">
        <v>66.2</v>
      </c>
      <c r="AD92" s="98">
        <v>66.540000000000006</v>
      </c>
      <c r="AE92" s="98">
        <v>64.569999999999993</v>
      </c>
      <c r="AF92" s="98">
        <v>62.26</v>
      </c>
      <c r="AG92" s="106">
        <v>59.99</v>
      </c>
      <c r="AH92" s="107">
        <v>53.37</v>
      </c>
      <c r="AI92" s="107">
        <v>41.25</v>
      </c>
      <c r="AJ92" s="107">
        <v>32.79</v>
      </c>
      <c r="AK92" s="90">
        <f t="shared" si="19"/>
        <v>142</v>
      </c>
      <c r="AL92" s="90">
        <f t="shared" si="20"/>
        <v>160</v>
      </c>
      <c r="AM92" s="108">
        <f t="shared" si="21"/>
        <v>174</v>
      </c>
      <c r="AN92" s="91">
        <f t="shared" si="22"/>
        <v>203</v>
      </c>
      <c r="AO92" s="108">
        <f t="shared" si="17"/>
        <v>240</v>
      </c>
      <c r="AP92" s="109">
        <f t="shared" si="18"/>
        <v>216</v>
      </c>
      <c r="AQ92" s="110">
        <f t="shared" si="11"/>
        <v>194</v>
      </c>
      <c r="AR92" s="110">
        <f t="shared" si="11"/>
        <v>194</v>
      </c>
      <c r="AS92" s="110">
        <f t="shared" si="14"/>
        <v>178</v>
      </c>
      <c r="AT92" s="110">
        <f t="shared" si="15"/>
        <v>169</v>
      </c>
      <c r="AU92" s="110">
        <f t="shared" si="12"/>
        <v>151</v>
      </c>
      <c r="AV92" s="109">
        <f t="shared" si="16"/>
        <v>128</v>
      </c>
      <c r="AW92" s="109">
        <f>ROUND(W92/VLOOKUP($C92,CapRate,13),0)</f>
        <v>167</v>
      </c>
      <c r="AX92" s="109">
        <f>ROUND(X92/VLOOKUP($C92,CapRate,14),0)</f>
        <v>204</v>
      </c>
      <c r="AY92" s="109">
        <f>ROUND(Y92/VLOOKUP($C92,CapRate,15),0)</f>
        <v>260</v>
      </c>
      <c r="AZ92" s="109">
        <f>ROUND(Z92/VLOOKUP($C92,CapRate,16),0)</f>
        <v>308</v>
      </c>
      <c r="BA92" s="109">
        <f>ROUND(AA92/VLOOKUP($C92,CapRate,17),0)</f>
        <v>357</v>
      </c>
      <c r="BB92" s="109">
        <f>ROUND(AB92/VLOOKUP($C92,CapRate,18),0)</f>
        <v>417</v>
      </c>
      <c r="BC92" s="109">
        <f>ROUND(AC92/VLOOKUP($C92,CapRate,19),0)</f>
        <v>454</v>
      </c>
      <c r="BD92" s="109">
        <f>ROUND(AD92/VLOOKUP($C92,CapRate,20),0)</f>
        <v>454</v>
      </c>
      <c r="BE92" s="109">
        <f>ROUND(AE92/VLOOKUP($C92,CapRate,21),0)</f>
        <v>439</v>
      </c>
      <c r="BF92" s="109">
        <f>ROUND(AF92/VLOOKUP($C92,CapRate,22),0)</f>
        <v>421</v>
      </c>
      <c r="BG92" s="109">
        <f>ROUND(AG92/VLOOKUP($C92,CapRate,23),0)</f>
        <v>403</v>
      </c>
      <c r="BH92" s="109">
        <f>ROUND(AH92/VLOOKUP($C92,CapRate,24),0)</f>
        <v>357</v>
      </c>
      <c r="BI92" s="109">
        <f>ROUND(AI92/VLOOKUP($C92,CapRate,25),0)</f>
        <v>274</v>
      </c>
      <c r="BJ92" s="109">
        <f>ROUND(AJ92/VLOOKUP($C92,CapRate,26),0)</f>
        <v>216</v>
      </c>
      <c r="BK92" s="113">
        <f t="shared" si="13"/>
        <v>-0.21167883211678828</v>
      </c>
      <c r="BL92" s="114">
        <f>((F90*BK90)+(F91*BK91)+(F92*BK92))</f>
        <v>-0.12546493961730973</v>
      </c>
      <c r="BM92" s="120"/>
      <c r="BN92" s="115"/>
      <c r="BO92" s="115">
        <f>BK92</f>
        <v>-0.21167883211678828</v>
      </c>
      <c r="BP92" s="115"/>
    </row>
    <row r="93" spans="1:68" ht="15.9" customHeight="1" thickTop="1">
      <c r="A93" s="8" t="s">
        <v>65</v>
      </c>
      <c r="B93" s="22"/>
      <c r="C93" s="8" t="s">
        <v>77</v>
      </c>
      <c r="D93" s="23" t="s">
        <v>77</v>
      </c>
      <c r="E93" s="8" t="s">
        <v>39</v>
      </c>
      <c r="F93" s="188">
        <f>[1]AcreSummary!M31</f>
        <v>0.12010295695086742</v>
      </c>
      <c r="G93" s="25"/>
      <c r="H93" s="117"/>
      <c r="I93" s="57">
        <f>[1]Native!E29</f>
        <v>4.2300000000000004</v>
      </c>
      <c r="J93" s="58">
        <f>[1]Native!F29</f>
        <v>4</v>
      </c>
      <c r="K93" s="80">
        <f>[1]Native!G29</f>
        <v>4.2300000000000004</v>
      </c>
      <c r="L93" s="68">
        <f>[1]Native!H29</f>
        <v>4.49</v>
      </c>
      <c r="M93" s="58">
        <f>[1]Native!I29</f>
        <v>4.58</v>
      </c>
      <c r="N93" s="81">
        <f>[1]Native!J29</f>
        <v>4.6100000000000003</v>
      </c>
      <c r="O93" s="62">
        <v>4.26</v>
      </c>
      <c r="P93" s="81">
        <f>[1]Native!K29</f>
        <v>4.5599999999999996</v>
      </c>
      <c r="Q93" s="82">
        <f>[1]Native!L29</f>
        <v>4.68</v>
      </c>
      <c r="R93" s="83">
        <v>4.68</v>
      </c>
      <c r="S93" s="84">
        <f>[1]Native!M29</f>
        <v>4.8</v>
      </c>
      <c r="T93" s="66">
        <f>[1]Native!N29</f>
        <v>4.88</v>
      </c>
      <c r="U93" s="67">
        <f>[1]Native!O29</f>
        <v>4.41</v>
      </c>
      <c r="V93" s="68">
        <f>[1]Native!P29</f>
        <v>-0.72</v>
      </c>
      <c r="W93" s="68">
        <f>[1]Native!Q29</f>
        <v>-2.61</v>
      </c>
      <c r="X93" s="68">
        <v>-3.51</v>
      </c>
      <c r="Y93" s="68">
        <v>-4.3600000000000003</v>
      </c>
      <c r="Z93" s="68">
        <v>-3.88</v>
      </c>
      <c r="AA93" s="68">
        <v>-3.71</v>
      </c>
      <c r="AB93" s="68">
        <v>-3.11</v>
      </c>
      <c r="AC93" s="68">
        <v>-2.4</v>
      </c>
      <c r="AD93" s="68">
        <v>-1.06</v>
      </c>
      <c r="AE93" s="68">
        <v>0.43</v>
      </c>
      <c r="AF93" s="68">
        <v>0.94</v>
      </c>
      <c r="AG93" s="69">
        <v>1.38</v>
      </c>
      <c r="AH93" s="70">
        <v>1.69</v>
      </c>
      <c r="AI93" s="70">
        <v>1.47</v>
      </c>
      <c r="AJ93" s="70">
        <v>1.44</v>
      </c>
      <c r="AK93" s="8">
        <f t="shared" si="19"/>
        <v>29</v>
      </c>
      <c r="AL93" s="8">
        <f t="shared" si="20"/>
        <v>30</v>
      </c>
      <c r="AM93" s="85">
        <f t="shared" si="21"/>
        <v>31</v>
      </c>
      <c r="AN93" s="23">
        <f t="shared" si="22"/>
        <v>33</v>
      </c>
      <c r="AO93" s="85">
        <f t="shared" si="17"/>
        <v>32</v>
      </c>
      <c r="AP93" s="72">
        <f t="shared" si="18"/>
        <v>34</v>
      </c>
      <c r="AQ93" s="71">
        <f t="shared" si="11"/>
        <v>35</v>
      </c>
      <c r="AR93" s="71">
        <f t="shared" si="11"/>
        <v>35</v>
      </c>
      <c r="AS93" s="71">
        <f t="shared" si="14"/>
        <v>36</v>
      </c>
      <c r="AT93" s="71">
        <f t="shared" si="15"/>
        <v>36</v>
      </c>
      <c r="AU93" s="71">
        <f t="shared" si="12"/>
        <v>33</v>
      </c>
      <c r="AV93" s="122">
        <f>IF(ROUND(V93/VLOOKUP($C93,CapRate,12),0)&gt;10,V93/VLOOKUP($C93,CapRate,12),10)</f>
        <v>10</v>
      </c>
      <c r="AW93" s="122">
        <f>IF(ROUND(W93/VLOOKUP($C93,CapRate,13),0)&gt;10,W93/VLOOKUP($C93,CapRate,13),10)</f>
        <v>10</v>
      </c>
      <c r="AX93" s="122">
        <f>IF(ROUND(X93/VLOOKUP($C93,CapRate,14),0)&gt;10,X93/VLOOKUP($C93,CapRate,14),10)</f>
        <v>10</v>
      </c>
      <c r="AY93" s="122">
        <f>IF(ROUND(Y93/VLOOKUP($C93,CapRate,15),0)&gt;10,Y93/VLOOKUP($C93,CapRate,15),10)</f>
        <v>10</v>
      </c>
      <c r="AZ93" s="122">
        <f>IF(ROUND(Z93/VLOOKUP($C93,CapRate,16),0)&gt;10,Z93/VLOOKUP($C93,CapRate,16),10)</f>
        <v>10</v>
      </c>
      <c r="BA93" s="122">
        <f>IF(ROUND(AA93/VLOOKUP($C93,CapRate,17),0)&gt;10,AA93/VLOOKUP($C93,CapRate,17),10)</f>
        <v>10</v>
      </c>
      <c r="BB93" s="122">
        <f>IF(ROUND(AB93/VLOOKUP($C93,CapRate,18),0)&gt;10,AB93/VLOOKUP($C93,CapRate,18),10)</f>
        <v>10</v>
      </c>
      <c r="BC93" s="122">
        <f>IF(ROUND(AC93/VLOOKUP($C93,CapRate,19),0)&gt;10,AC93/VLOOKUP($C93,CapRate,19),10)</f>
        <v>10</v>
      </c>
      <c r="BD93" s="122">
        <f>IF(ROUND(AD93/VLOOKUP($C93,CapRate,20),0)&gt;10,AD93/VLOOKUP($C93,CapRate,20),10)</f>
        <v>10</v>
      </c>
      <c r="BE93" s="122">
        <f>IF(ROUND(AE93/VLOOKUP($C93,CapRate,21),0)&gt;10,AE93/VLOOKUP($C93,CapRate,21),10)</f>
        <v>10</v>
      </c>
      <c r="BF93" s="122">
        <f>IF(ROUND(AF93/VLOOKUP($C93,CapRate,22),0)&gt;10,AF93/VLOOKUP($C93,CapRate,22),10)</f>
        <v>10</v>
      </c>
      <c r="BG93" s="122">
        <f>IF(ROUND(AG93/VLOOKUP($C93,CapRate,23),0)&gt;10,AG93/VLOOKUP($C93,CapRate,23),10)</f>
        <v>10</v>
      </c>
      <c r="BH93" s="122">
        <f>IF(ROUND(AH93/VLOOKUP($C93,CapRate,24),0)&gt;10,AH93/VLOOKUP($C93,CapRate,24),10)</f>
        <v>10.938511326860841</v>
      </c>
      <c r="BI93" s="122">
        <f>IF(ROUND(AI93/VLOOKUP($C93,CapRate,25),0)&gt;10,AI93/VLOOKUP($C93,CapRate,25),10)</f>
        <v>10</v>
      </c>
      <c r="BJ93" s="122">
        <f>IF(ROUND(AJ93/VLOOKUP($C93,CapRate,26),0)&gt;10,AJ93/VLOOKUP($C93,CapRate,26),10)</f>
        <v>10</v>
      </c>
      <c r="BK93" s="75">
        <f t="shared" si="13"/>
        <v>0</v>
      </c>
      <c r="BL93" s="76"/>
      <c r="BM93" s="77">
        <f>BK93</f>
        <v>0</v>
      </c>
      <c r="BN93" s="77"/>
      <c r="BO93" s="77"/>
      <c r="BP93" s="77"/>
    </row>
    <row r="94" spans="1:68" ht="15.9" customHeight="1">
      <c r="A94" s="8" t="s">
        <v>65</v>
      </c>
      <c r="B94" s="22"/>
      <c r="C94" s="8" t="s">
        <v>77</v>
      </c>
      <c r="D94" s="23"/>
      <c r="E94" s="8" t="s">
        <v>40</v>
      </c>
      <c r="F94" s="188">
        <f>[1]AcreSummary!J31</f>
        <v>0.75854841113997418</v>
      </c>
      <c r="G94" s="25"/>
      <c r="H94" s="117"/>
      <c r="I94" s="57">
        <f>[1]Dry!E31</f>
        <v>10.07</v>
      </c>
      <c r="J94" s="58">
        <f>[1]Dry!F31</f>
        <v>9.93</v>
      </c>
      <c r="K94" s="80">
        <f>[1]Dry!G31</f>
        <v>9.15</v>
      </c>
      <c r="L94" s="68">
        <f>[1]Dry!H31</f>
        <v>10.119999999999999</v>
      </c>
      <c r="M94" s="58">
        <f>[1]Dry!I31</f>
        <v>9.0299999999999994</v>
      </c>
      <c r="N94" s="81">
        <f>[1]Dry!J31</f>
        <v>9.16</v>
      </c>
      <c r="O94" s="62">
        <v>9.0399999999999991</v>
      </c>
      <c r="P94" s="81">
        <f>[1]Dry!K31</f>
        <v>9.09</v>
      </c>
      <c r="Q94" s="82">
        <f>[1]Dry!L31</f>
        <v>9</v>
      </c>
      <c r="R94" s="83">
        <f>Q94*0.95</f>
        <v>8.5499999999999989</v>
      </c>
      <c r="S94" s="84">
        <f>[1]Dry!N31</f>
        <v>8.39</v>
      </c>
      <c r="T94" s="66">
        <f>[1]Dry!O31</f>
        <v>7.87</v>
      </c>
      <c r="U94" s="67">
        <f>[1]Dry!P31</f>
        <v>7.19</v>
      </c>
      <c r="V94" s="68">
        <f>[1]Dry!Q31</f>
        <v>3.51</v>
      </c>
      <c r="W94" s="68">
        <f>[1]Dry!R31</f>
        <v>4.47</v>
      </c>
      <c r="X94" s="68">
        <f>[1]Dry!S31</f>
        <v>5.78</v>
      </c>
      <c r="Y94" s="68">
        <f>[1]Dry!T31</f>
        <v>7.51</v>
      </c>
      <c r="Z94" s="68">
        <v>7.91</v>
      </c>
      <c r="AA94" s="68">
        <v>8.2200000000000006</v>
      </c>
      <c r="AB94" s="68">
        <v>7.96</v>
      </c>
      <c r="AC94" s="68">
        <v>7.86</v>
      </c>
      <c r="AD94" s="68">
        <v>7.34</v>
      </c>
      <c r="AE94" s="68">
        <v>5.34</v>
      </c>
      <c r="AF94" s="68">
        <v>3.23</v>
      </c>
      <c r="AG94" s="69">
        <v>0.59</v>
      </c>
      <c r="AH94" s="70">
        <v>-2.37</v>
      </c>
      <c r="AI94" s="70">
        <v>-7.19</v>
      </c>
      <c r="AJ94" s="70">
        <v>-10.55</v>
      </c>
      <c r="AK94" s="8">
        <f t="shared" si="19"/>
        <v>71</v>
      </c>
      <c r="AL94" s="8">
        <f t="shared" si="20"/>
        <v>65</v>
      </c>
      <c r="AM94" s="85">
        <f t="shared" si="21"/>
        <v>71</v>
      </c>
      <c r="AN94" s="23">
        <f t="shared" si="22"/>
        <v>65</v>
      </c>
      <c r="AO94" s="85">
        <f t="shared" si="17"/>
        <v>67</v>
      </c>
      <c r="AP94" s="72">
        <f t="shared" si="18"/>
        <v>68</v>
      </c>
      <c r="AQ94" s="71">
        <f t="shared" si="11"/>
        <v>67</v>
      </c>
      <c r="AR94" s="71">
        <f t="shared" si="11"/>
        <v>64</v>
      </c>
      <c r="AS94" s="71">
        <f t="shared" si="14"/>
        <v>63</v>
      </c>
      <c r="AT94" s="71">
        <f t="shared" si="15"/>
        <v>59</v>
      </c>
      <c r="AU94" s="71">
        <f t="shared" si="12"/>
        <v>53</v>
      </c>
      <c r="AV94" s="72">
        <f t="shared" si="16"/>
        <v>26</v>
      </c>
      <c r="AW94" s="72">
        <f>ROUND(W94/VLOOKUP($C94,CapRate,13),0)</f>
        <v>33</v>
      </c>
      <c r="AX94" s="72">
        <f>ROUND(X94/VLOOKUP($C94,CapRate,14),0)</f>
        <v>42</v>
      </c>
      <c r="AY94" s="72">
        <f>ROUND(Y94/VLOOKUP($C94,CapRate,15),0)</f>
        <v>55</v>
      </c>
      <c r="AZ94" s="72">
        <f>ROUND(Z94/VLOOKUP($C94,CapRate,16),0)</f>
        <v>57</v>
      </c>
      <c r="BA94" s="72">
        <f>ROUND(AA94/VLOOKUP($C94,CapRate,17),0)</f>
        <v>59</v>
      </c>
      <c r="BB94" s="72">
        <f>ROUND(AB94/VLOOKUP($C94,CapRate,18),0)</f>
        <v>56</v>
      </c>
      <c r="BC94" s="72">
        <f>ROUND(AC94/VLOOKUP($C94,CapRate,19),0)</f>
        <v>55</v>
      </c>
      <c r="BD94" s="72">
        <f>ROUND(AD94/VLOOKUP($C94,CapRate,20),0)</f>
        <v>50</v>
      </c>
      <c r="BE94" s="72">
        <f>ROUND(AE94/VLOOKUP($C94,CapRate,21),0)</f>
        <v>36</v>
      </c>
      <c r="BF94" s="72">
        <f>ROUND(AF94/VLOOKUP($C94,CapRate,22),0)</f>
        <v>21</v>
      </c>
      <c r="BG94" s="72">
        <f>IF(ROUND(AG94/VLOOKUP($C94,CapRate,23),0)&gt;10,AG94/VLOOKUP($C94,CapRate,23),10)</f>
        <v>10</v>
      </c>
      <c r="BH94" s="72">
        <f>IF(ROUND(AH94/VLOOKUP($C94,CapRate,24),0)&gt;10,AH94/VLOOKUP($C94,CapRate,24),10)</f>
        <v>10</v>
      </c>
      <c r="BI94" s="72">
        <f>IF(ROUND(AI94/VLOOKUP($C94,CapRate,25),0)&gt;10,AI94/VLOOKUP($C94,CapRate,25),10)</f>
        <v>10</v>
      </c>
      <c r="BJ94" s="72">
        <f>IF(ROUND(AJ94/VLOOKUP($C94,CapRate,26),0)&gt;10,AJ94/VLOOKUP($C94,CapRate,26),10)</f>
        <v>10</v>
      </c>
      <c r="BK94" s="87">
        <f t="shared" si="13"/>
        <v>0</v>
      </c>
      <c r="BL94" s="76"/>
      <c r="BM94" s="77"/>
      <c r="BN94" s="77">
        <f>BK94</f>
        <v>0</v>
      </c>
      <c r="BO94" s="77"/>
      <c r="BP94" s="77"/>
    </row>
    <row r="95" spans="1:68" ht="15.9" customHeight="1" thickBot="1">
      <c r="A95" s="8" t="s">
        <v>65</v>
      </c>
      <c r="B95" s="22"/>
      <c r="C95" s="90" t="s">
        <v>77</v>
      </c>
      <c r="D95" s="91"/>
      <c r="E95" s="90" t="s">
        <v>41</v>
      </c>
      <c r="F95" s="190">
        <f>[1]AcreSummary!K31</f>
        <v>0.12134863190915846</v>
      </c>
      <c r="G95" s="191">
        <f>[1]Irrigated!D31</f>
        <v>500</v>
      </c>
      <c r="H95" s="94">
        <f>[1]Irrigated!E31</f>
        <v>0.31</v>
      </c>
      <c r="I95" s="95"/>
      <c r="J95" s="96">
        <f>[1]Irrigated!H31</f>
        <v>14.48</v>
      </c>
      <c r="K95" s="97">
        <f>[1]Irrigated!I31</f>
        <v>18.53</v>
      </c>
      <c r="L95" s="98">
        <f>[1]Irrigated!J31</f>
        <v>22.27</v>
      </c>
      <c r="M95" s="96">
        <f>[1]Irrigated!K31</f>
        <v>27.47</v>
      </c>
      <c r="N95" s="99">
        <f>[1]Irrigated!L31</f>
        <v>30.45</v>
      </c>
      <c r="O95" s="100">
        <v>15.83</v>
      </c>
      <c r="P95" s="99">
        <f>[1]Irrigated!M31</f>
        <v>31.43</v>
      </c>
      <c r="Q95" s="101">
        <f>[1]Irrigated!N31</f>
        <v>30.18</v>
      </c>
      <c r="R95" s="102">
        <v>30.18</v>
      </c>
      <c r="S95" s="103">
        <f>[1]Irrigated!O31</f>
        <v>29.48</v>
      </c>
      <c r="T95" s="104">
        <f>[1]Irrigated!P31</f>
        <v>29.98</v>
      </c>
      <c r="U95" s="105">
        <f>[1]Irrigated!Q31</f>
        <v>27.25</v>
      </c>
      <c r="V95" s="98">
        <f>[1]Irrigated!R31</f>
        <v>21.46</v>
      </c>
      <c r="W95" s="98">
        <f>[1]Irrigated!S31</f>
        <v>26.93</v>
      </c>
      <c r="X95" s="98">
        <v>32.479999999999997</v>
      </c>
      <c r="Y95" s="98">
        <v>40.67</v>
      </c>
      <c r="Z95" s="98">
        <v>47.67</v>
      </c>
      <c r="AA95" s="98">
        <v>55.22</v>
      </c>
      <c r="AB95" s="98">
        <v>64.23</v>
      </c>
      <c r="AC95" s="98">
        <v>70.78</v>
      </c>
      <c r="AD95" s="98">
        <v>71.73</v>
      </c>
      <c r="AE95" s="98">
        <v>70.900000000000006</v>
      </c>
      <c r="AF95" s="98">
        <v>36.47</v>
      </c>
      <c r="AG95" s="106">
        <v>34.07</v>
      </c>
      <c r="AH95" s="107">
        <v>27.86</v>
      </c>
      <c r="AI95" s="107">
        <v>15.34</v>
      </c>
      <c r="AJ95" s="107">
        <v>6.7</v>
      </c>
      <c r="AK95" s="90">
        <f t="shared" si="19"/>
        <v>104</v>
      </c>
      <c r="AL95" s="90">
        <f t="shared" si="20"/>
        <v>132</v>
      </c>
      <c r="AM95" s="108">
        <f t="shared" si="21"/>
        <v>156</v>
      </c>
      <c r="AN95" s="91">
        <f t="shared" si="22"/>
        <v>196</v>
      </c>
      <c r="AO95" s="108">
        <f t="shared" si="17"/>
        <v>117</v>
      </c>
      <c r="AP95" s="109">
        <f t="shared" si="18"/>
        <v>236</v>
      </c>
      <c r="AQ95" s="110">
        <f t="shared" si="11"/>
        <v>225</v>
      </c>
      <c r="AR95" s="110">
        <f t="shared" si="11"/>
        <v>225</v>
      </c>
      <c r="AS95" s="110">
        <f t="shared" si="14"/>
        <v>220</v>
      </c>
      <c r="AT95" s="110">
        <f t="shared" si="15"/>
        <v>223</v>
      </c>
      <c r="AU95" s="110">
        <f t="shared" si="12"/>
        <v>203</v>
      </c>
      <c r="AV95" s="109">
        <f t="shared" si="16"/>
        <v>158</v>
      </c>
      <c r="AW95" s="109">
        <f>ROUND(W95/VLOOKUP($C95,CapRate,13),0)</f>
        <v>197</v>
      </c>
      <c r="AX95" s="109">
        <f>ROUND(X95/VLOOKUP($C95,CapRate,14),0)</f>
        <v>238</v>
      </c>
      <c r="AY95" s="109">
        <f>ROUND(Y95/VLOOKUP($C95,CapRate,15),0)</f>
        <v>297</v>
      </c>
      <c r="AZ95" s="109">
        <f>ROUND(Z95/VLOOKUP($C95,CapRate,16),0)</f>
        <v>346</v>
      </c>
      <c r="BA95" s="109">
        <f>ROUND(AA95/VLOOKUP($C95,CapRate,17),0)</f>
        <v>399</v>
      </c>
      <c r="BB95" s="109">
        <f>ROUND(AB95/VLOOKUP($C95,CapRate,18),0)</f>
        <v>455</v>
      </c>
      <c r="BC95" s="109">
        <f>ROUND(AC95/VLOOKUP($C95,CapRate,19),0)</f>
        <v>491</v>
      </c>
      <c r="BD95" s="109">
        <f>ROUND(AD95/VLOOKUP($C95,CapRate,20),0)</f>
        <v>489</v>
      </c>
      <c r="BE95" s="109">
        <f>ROUND(AE95/VLOOKUP($C95,CapRate,21),0)</f>
        <v>478</v>
      </c>
      <c r="BF95" s="109">
        <f>ROUND(AF95/VLOOKUP($C95,CapRate,22),0)</f>
        <v>242</v>
      </c>
      <c r="BG95" s="109">
        <f>ROUND(AG95/VLOOKUP($C95,CapRate,23),0)</f>
        <v>223</v>
      </c>
      <c r="BH95" s="109">
        <f>ROUND(AH95/VLOOKUP($C95,CapRate,24),0)</f>
        <v>180</v>
      </c>
      <c r="BI95" s="109">
        <f>ROUND(AI95/VLOOKUP($C95,CapRate,25),0)</f>
        <v>98</v>
      </c>
      <c r="BJ95" s="109">
        <f>ROUND(AJ95/VLOOKUP($C95,CapRate,26),0)</f>
        <v>43</v>
      </c>
      <c r="BK95" s="113">
        <f t="shared" si="13"/>
        <v>-0.56122448979591844</v>
      </c>
      <c r="BL95" s="114">
        <f>((F93*BK93)+(F94*BK94)+(F95*BK95))</f>
        <v>-6.8103824030650156E-2</v>
      </c>
      <c r="BM95" s="120"/>
      <c r="BN95" s="115"/>
      <c r="BO95" s="115">
        <f>BK95</f>
        <v>-0.56122448979591844</v>
      </c>
      <c r="BP95" s="115"/>
    </row>
    <row r="96" spans="1:68" ht="15.9" customHeight="1" thickTop="1">
      <c r="A96" s="8" t="s">
        <v>65</v>
      </c>
      <c r="B96" s="22"/>
      <c r="C96" s="8" t="s">
        <v>78</v>
      </c>
      <c r="D96" s="23" t="s">
        <v>78</v>
      </c>
      <c r="E96" s="8" t="s">
        <v>39</v>
      </c>
      <c r="F96" s="188">
        <f>[1]AcreSummary!M32</f>
        <v>0.33479845524338714</v>
      </c>
      <c r="G96" s="25"/>
      <c r="H96" s="117"/>
      <c r="I96" s="57">
        <f>[1]Native!E30</f>
        <v>3.75</v>
      </c>
      <c r="J96" s="58">
        <f>[1]Native!F30</f>
        <v>3.88</v>
      </c>
      <c r="K96" s="80">
        <f>[1]Native!G30</f>
        <v>4</v>
      </c>
      <c r="L96" s="68">
        <f>[1]Native!H30</f>
        <v>4</v>
      </c>
      <c r="M96" s="58">
        <f>[1]Native!I30</f>
        <v>3.96</v>
      </c>
      <c r="N96" s="81">
        <f>[1]Native!J30</f>
        <v>3.86</v>
      </c>
      <c r="O96" s="62">
        <v>3.8</v>
      </c>
      <c r="P96" s="81">
        <f>[1]Native!K30</f>
        <v>3.68</v>
      </c>
      <c r="Q96" s="82">
        <f>[1]Native!L30</f>
        <v>3.5</v>
      </c>
      <c r="R96" s="83">
        <v>3.5</v>
      </c>
      <c r="S96" s="84">
        <f>[1]Native!M30</f>
        <v>3.49</v>
      </c>
      <c r="T96" s="66">
        <f>[1]Native!N30</f>
        <v>3.44</v>
      </c>
      <c r="U96" s="67">
        <f>[1]Native!O30</f>
        <v>3.29</v>
      </c>
      <c r="V96" s="68">
        <f>[1]Native!P30</f>
        <v>-1.49</v>
      </c>
      <c r="W96" s="68">
        <f>[1]Native!Q30</f>
        <v>-3.25</v>
      </c>
      <c r="X96" s="68">
        <v>-4.0199999999999996</v>
      </c>
      <c r="Y96" s="68">
        <v>-4.74</v>
      </c>
      <c r="Z96" s="68">
        <v>-4.38</v>
      </c>
      <c r="AA96" s="68">
        <v>-3.85</v>
      </c>
      <c r="AB96" s="68">
        <v>-3.27</v>
      </c>
      <c r="AC96" s="68">
        <v>-2.66</v>
      </c>
      <c r="AD96" s="68">
        <v>-1.1599999999999999</v>
      </c>
      <c r="AE96" s="68">
        <v>0.31</v>
      </c>
      <c r="AF96" s="68">
        <v>0.8</v>
      </c>
      <c r="AG96" s="69">
        <v>1.23</v>
      </c>
      <c r="AH96" s="70">
        <v>1.54</v>
      </c>
      <c r="AI96" s="70">
        <v>1.33</v>
      </c>
      <c r="AJ96" s="70">
        <v>1.29</v>
      </c>
      <c r="AK96" s="8">
        <f t="shared" si="19"/>
        <v>27</v>
      </c>
      <c r="AL96" s="8">
        <f t="shared" si="20"/>
        <v>28</v>
      </c>
      <c r="AM96" s="85">
        <f t="shared" si="21"/>
        <v>27</v>
      </c>
      <c r="AN96" s="23">
        <f t="shared" si="22"/>
        <v>27</v>
      </c>
      <c r="AO96" s="85">
        <f t="shared" si="17"/>
        <v>27</v>
      </c>
      <c r="AP96" s="72">
        <f t="shared" si="18"/>
        <v>27</v>
      </c>
      <c r="AQ96" s="71">
        <f t="shared" si="11"/>
        <v>25</v>
      </c>
      <c r="AR96" s="71">
        <f t="shared" si="11"/>
        <v>25</v>
      </c>
      <c r="AS96" s="71">
        <f t="shared" si="14"/>
        <v>25</v>
      </c>
      <c r="AT96" s="71">
        <f t="shared" si="15"/>
        <v>25</v>
      </c>
      <c r="AU96" s="71">
        <f t="shared" si="12"/>
        <v>24</v>
      </c>
      <c r="AV96" s="122">
        <f>IF(ROUND(V96/VLOOKUP($C96,CapRate,12),0)&gt;10,V96/VLOOKUP($C96,CapRate,12),10)</f>
        <v>10</v>
      </c>
      <c r="AW96" s="122">
        <f>IF(ROUND(W96/VLOOKUP($C96,CapRate,13),0)&gt;10,W96/VLOOKUP($C96,CapRate,13),10)</f>
        <v>10</v>
      </c>
      <c r="AX96" s="122">
        <f>IF(ROUND(X96/VLOOKUP($C96,CapRate,14),0)&gt;10,X96/VLOOKUP($C96,CapRate,14),10)</f>
        <v>10</v>
      </c>
      <c r="AY96" s="122">
        <f>IF(ROUND(Y96/VLOOKUP($C96,CapRate,15),0)&gt;10,Y96/VLOOKUP($C96,CapRate,15),10)</f>
        <v>10</v>
      </c>
      <c r="AZ96" s="122">
        <f>IF(ROUND(Z96/VLOOKUP($C96,CapRate,16),0)&gt;10,Z96/VLOOKUP($C96,CapRate,16),10)</f>
        <v>10</v>
      </c>
      <c r="BA96" s="122">
        <f>IF(ROUND(AA96/VLOOKUP($C96,CapRate,17),0)&gt;10,AA96/VLOOKUP($C96,CapRate,17),10)</f>
        <v>10</v>
      </c>
      <c r="BB96" s="122">
        <f>IF(ROUND(AB96/VLOOKUP($C96,CapRate,18),0)&gt;10,AB96/VLOOKUP($C96,CapRate,18),10)</f>
        <v>10</v>
      </c>
      <c r="BC96" s="122">
        <f>IF(ROUND(AC96/VLOOKUP($C96,CapRate,19),0)&gt;10,AC96/VLOOKUP($C96,CapRate,19),10)</f>
        <v>10</v>
      </c>
      <c r="BD96" s="122">
        <f>IF(ROUND(AD96/VLOOKUP($C96,CapRate,20),0)&gt;10,AD96/VLOOKUP($C96,CapRate,20),10)</f>
        <v>10</v>
      </c>
      <c r="BE96" s="122">
        <f>IF(ROUND(AE96/VLOOKUP($C96,CapRate,21),0)&gt;10,AE96/VLOOKUP($C96,CapRate,21),10)</f>
        <v>10</v>
      </c>
      <c r="BF96" s="122">
        <f>IF(ROUND(AF96/VLOOKUP($C96,CapRate,22),0)&gt;10,AF96/VLOOKUP($C96,CapRate,22),10)</f>
        <v>10</v>
      </c>
      <c r="BG96" s="122">
        <f>IF(ROUND(AG96/VLOOKUP($C96,CapRate,23),0)&gt;10,AG96/VLOOKUP($C96,CapRate,23),10)</f>
        <v>10</v>
      </c>
      <c r="BH96" s="122">
        <f>IF(ROUND(AH96/VLOOKUP($C96,CapRate,24),0)&gt;10,AH96/VLOOKUP($C96,CapRate,24),10)</f>
        <v>10</v>
      </c>
      <c r="BI96" s="122">
        <f>IF(ROUND(AI96/VLOOKUP($C96,CapRate,25),0)&gt;10,AI96/VLOOKUP($C96,CapRate,25),10)</f>
        <v>10</v>
      </c>
      <c r="BJ96" s="122">
        <f>IF(ROUND(AJ96/VLOOKUP($C96,CapRate,26),0)&gt;10,AJ96/VLOOKUP($C96,CapRate,26),10)</f>
        <v>10</v>
      </c>
      <c r="BK96" s="75">
        <f t="shared" si="13"/>
        <v>0</v>
      </c>
      <c r="BL96" s="76"/>
      <c r="BM96" s="77">
        <f>BK96</f>
        <v>0</v>
      </c>
      <c r="BN96" s="77"/>
      <c r="BO96" s="77"/>
      <c r="BP96" s="77"/>
    </row>
    <row r="97" spans="1:70" ht="15.9" customHeight="1">
      <c r="A97" s="8" t="s">
        <v>65</v>
      </c>
      <c r="B97" s="22"/>
      <c r="C97" s="8" t="s">
        <v>78</v>
      </c>
      <c r="D97" s="23"/>
      <c r="E97" s="8" t="s">
        <v>40</v>
      </c>
      <c r="F97" s="188">
        <f>[1]AcreSummary!J32</f>
        <v>0.3711721879792772</v>
      </c>
      <c r="G97" s="25"/>
      <c r="H97" s="117"/>
      <c r="I97" s="57">
        <f>[1]Dry!E32</f>
        <v>11.07</v>
      </c>
      <c r="J97" s="58">
        <f>[1]Dry!F32</f>
        <v>11.04</v>
      </c>
      <c r="K97" s="80">
        <f>[1]Dry!G32</f>
        <v>11.06</v>
      </c>
      <c r="L97" s="68">
        <f>[1]Dry!H32</f>
        <v>11.12</v>
      </c>
      <c r="M97" s="58">
        <f>[1]Dry!I32</f>
        <v>11.22</v>
      </c>
      <c r="N97" s="81">
        <f>[1]Dry!J32</f>
        <v>11.46</v>
      </c>
      <c r="O97" s="62">
        <v>11.56</v>
      </c>
      <c r="P97" s="81">
        <f>[1]Dry!K32</f>
        <v>11.35</v>
      </c>
      <c r="Q97" s="82">
        <f>[1]Dry!L32</f>
        <v>11.14</v>
      </c>
      <c r="R97" s="83">
        <f>Q97*0.95</f>
        <v>10.583</v>
      </c>
      <c r="S97" s="84">
        <f>[1]Dry!N32</f>
        <v>10.27</v>
      </c>
      <c r="T97" s="66">
        <f>[1]Dry!O32</f>
        <v>9.35</v>
      </c>
      <c r="U97" s="67">
        <f>[1]Dry!P32</f>
        <v>8.4499999999999993</v>
      </c>
      <c r="V97" s="68">
        <f>[1]Dry!Q32</f>
        <v>4.41</v>
      </c>
      <c r="W97" s="68">
        <f>[1]Dry!R32</f>
        <v>5.58</v>
      </c>
      <c r="X97" s="68">
        <f>[1]Dry!S32</f>
        <v>7.47</v>
      </c>
      <c r="Y97" s="68">
        <f>[1]Dry!T32</f>
        <v>9.7100000000000009</v>
      </c>
      <c r="Z97" s="68">
        <v>10.62</v>
      </c>
      <c r="AA97" s="68">
        <v>11.47</v>
      </c>
      <c r="AB97" s="68">
        <v>12.26</v>
      </c>
      <c r="AC97" s="68">
        <v>12.77</v>
      </c>
      <c r="AD97" s="68">
        <v>12.75</v>
      </c>
      <c r="AE97" s="68">
        <v>11.51</v>
      </c>
      <c r="AF97" s="68">
        <v>9.93</v>
      </c>
      <c r="AG97" s="69">
        <v>7.98</v>
      </c>
      <c r="AH97" s="70">
        <v>6.14</v>
      </c>
      <c r="AI97" s="70">
        <v>3.83</v>
      </c>
      <c r="AJ97" s="70">
        <v>2.17</v>
      </c>
      <c r="AK97" s="8">
        <f t="shared" si="19"/>
        <v>76</v>
      </c>
      <c r="AL97" s="8">
        <f t="shared" si="20"/>
        <v>76</v>
      </c>
      <c r="AM97" s="85">
        <f t="shared" si="21"/>
        <v>76</v>
      </c>
      <c r="AN97" s="23">
        <f t="shared" si="22"/>
        <v>78</v>
      </c>
      <c r="AO97" s="85">
        <f t="shared" si="17"/>
        <v>83</v>
      </c>
      <c r="AP97" s="72">
        <f t="shared" si="18"/>
        <v>83</v>
      </c>
      <c r="AQ97" s="71">
        <f t="shared" si="11"/>
        <v>81</v>
      </c>
      <c r="AR97" s="71">
        <f t="shared" si="11"/>
        <v>77</v>
      </c>
      <c r="AS97" s="71">
        <f t="shared" si="14"/>
        <v>74</v>
      </c>
      <c r="AT97" s="71">
        <f t="shared" si="15"/>
        <v>67</v>
      </c>
      <c r="AU97" s="71">
        <f t="shared" si="12"/>
        <v>61</v>
      </c>
      <c r="AV97" s="72">
        <f t="shared" si="16"/>
        <v>32</v>
      </c>
      <c r="AW97" s="72">
        <f>ROUND(W97/VLOOKUP($C97,CapRate,13),0)</f>
        <v>40</v>
      </c>
      <c r="AX97" s="72">
        <f>ROUND(X97/VLOOKUP($C97,CapRate,14),0)</f>
        <v>54</v>
      </c>
      <c r="AY97" s="72">
        <f>ROUND(Y97/VLOOKUP($C97,CapRate,15),0)</f>
        <v>69</v>
      </c>
      <c r="AZ97" s="72">
        <f>ROUND(Z97/VLOOKUP($C97,CapRate,16),0)</f>
        <v>76</v>
      </c>
      <c r="BA97" s="72">
        <f>ROUND(AA97/VLOOKUP($C97,CapRate,17),0)</f>
        <v>81</v>
      </c>
      <c r="BB97" s="72">
        <f>ROUND(AB97/VLOOKUP($C97,CapRate,18),0)</f>
        <v>85</v>
      </c>
      <c r="BC97" s="72">
        <f>ROUND(AC97/VLOOKUP($C97,CapRate,19),0)</f>
        <v>88</v>
      </c>
      <c r="BD97" s="72">
        <f>ROUND(AD97/VLOOKUP($C97,CapRate,20),0)</f>
        <v>87</v>
      </c>
      <c r="BE97" s="72">
        <f>ROUND(AE97/VLOOKUP($C97,CapRate,21),0)</f>
        <v>78</v>
      </c>
      <c r="BF97" s="72">
        <f>ROUND(AF97/VLOOKUP($C97,CapRate,22),0)</f>
        <v>67</v>
      </c>
      <c r="BG97" s="72">
        <f>ROUND(AG97/VLOOKUP($C97,CapRate,23),0)</f>
        <v>53</v>
      </c>
      <c r="BH97" s="72">
        <f>ROUND(AH97/VLOOKUP($C97,CapRate,24),0)</f>
        <v>41</v>
      </c>
      <c r="BI97" s="72">
        <f>ROUND(AI97/VLOOKUP($C97,CapRate,25),0)</f>
        <v>25</v>
      </c>
      <c r="BJ97" s="72">
        <f>ROUND(AJ97/VLOOKUP($C97,CapRate,26),0)</f>
        <v>14</v>
      </c>
      <c r="BK97" s="87">
        <f t="shared" si="13"/>
        <v>-0.43999999999999995</v>
      </c>
      <c r="BL97" s="76"/>
      <c r="BM97" s="77"/>
      <c r="BN97" s="77">
        <f>BK97</f>
        <v>-0.43999999999999995</v>
      </c>
      <c r="BO97" s="77"/>
      <c r="BP97" s="77"/>
    </row>
    <row r="98" spans="1:70" ht="15.9" customHeight="1" thickBot="1">
      <c r="A98" s="8" t="s">
        <v>65</v>
      </c>
      <c r="B98" s="22"/>
      <c r="C98" s="90" t="s">
        <v>78</v>
      </c>
      <c r="D98" s="91"/>
      <c r="E98" s="90" t="s">
        <v>41</v>
      </c>
      <c r="F98" s="190">
        <f>[1]AcreSummary!K32</f>
        <v>0.29402935677733577</v>
      </c>
      <c r="G98" s="191">
        <f>[1]Irrigated!D32</f>
        <v>400</v>
      </c>
      <c r="H98" s="94">
        <f>[1]Irrigated!E32</f>
        <v>0.55579999999999996</v>
      </c>
      <c r="I98" s="95"/>
      <c r="J98" s="96">
        <f>[1]Irrigated!H32</f>
        <v>12.17</v>
      </c>
      <c r="K98" s="97">
        <f>[1]Irrigated!I32</f>
        <v>13.9</v>
      </c>
      <c r="L98" s="98">
        <f>[1]Irrigated!J32</f>
        <v>15.24</v>
      </c>
      <c r="M98" s="96">
        <f>[1]Irrigated!K32</f>
        <v>18.03</v>
      </c>
      <c r="N98" s="99">
        <f>[1]Irrigated!L32</f>
        <v>18.920000000000002</v>
      </c>
      <c r="O98" s="100">
        <v>18.149999999999999</v>
      </c>
      <c r="P98" s="99">
        <f>[1]Irrigated!M32</f>
        <v>17.5</v>
      </c>
      <c r="Q98" s="101">
        <f>[1]Irrigated!N32</f>
        <v>15.64</v>
      </c>
      <c r="R98" s="102">
        <v>15.64</v>
      </c>
      <c r="S98" s="103">
        <f>[1]Irrigated!O32</f>
        <v>14.58</v>
      </c>
      <c r="T98" s="104">
        <f>[1]Irrigated!P32</f>
        <v>14.66</v>
      </c>
      <c r="U98" s="105">
        <f>[1]Irrigated!Q32</f>
        <v>16.09</v>
      </c>
      <c r="V98" s="98">
        <f>[1]Irrigated!R32</f>
        <v>16.71</v>
      </c>
      <c r="W98" s="98">
        <f>[1]Irrigated!S32</f>
        <v>22.29</v>
      </c>
      <c r="X98" s="98">
        <v>27.41</v>
      </c>
      <c r="Y98" s="98">
        <v>35.340000000000003</v>
      </c>
      <c r="Z98" s="98">
        <v>41.96</v>
      </c>
      <c r="AA98" s="98">
        <v>49.09</v>
      </c>
      <c r="AB98" s="98">
        <v>57.67</v>
      </c>
      <c r="AC98" s="98">
        <v>60.77</v>
      </c>
      <c r="AD98" s="98">
        <v>61.04</v>
      </c>
      <c r="AE98" s="98">
        <v>58.99</v>
      </c>
      <c r="AF98" s="98">
        <v>56.56</v>
      </c>
      <c r="AG98" s="106">
        <v>54.28</v>
      </c>
      <c r="AH98" s="107">
        <v>47.89</v>
      </c>
      <c r="AI98" s="107">
        <v>35.6</v>
      </c>
      <c r="AJ98" s="107">
        <v>27.15</v>
      </c>
      <c r="AK98" s="90">
        <f t="shared" si="19"/>
        <v>84</v>
      </c>
      <c r="AL98" s="90">
        <f t="shared" si="20"/>
        <v>96</v>
      </c>
      <c r="AM98" s="108">
        <f t="shared" si="21"/>
        <v>104</v>
      </c>
      <c r="AN98" s="91">
        <f t="shared" si="22"/>
        <v>125</v>
      </c>
      <c r="AO98" s="108">
        <f t="shared" si="17"/>
        <v>131</v>
      </c>
      <c r="AP98" s="109">
        <f t="shared" si="18"/>
        <v>127</v>
      </c>
      <c r="AQ98" s="110">
        <f t="shared" si="11"/>
        <v>113</v>
      </c>
      <c r="AR98" s="110">
        <f t="shared" si="11"/>
        <v>113</v>
      </c>
      <c r="AS98" s="110">
        <f t="shared" si="14"/>
        <v>105</v>
      </c>
      <c r="AT98" s="110">
        <f t="shared" si="15"/>
        <v>106</v>
      </c>
      <c r="AU98" s="110">
        <f t="shared" si="12"/>
        <v>116</v>
      </c>
      <c r="AV98" s="109">
        <f t="shared" si="16"/>
        <v>120</v>
      </c>
      <c r="AW98" s="109">
        <f>ROUND(W98/VLOOKUP($C98,CapRate,13),0)</f>
        <v>160</v>
      </c>
      <c r="AX98" s="109">
        <f>ROUND(X98/VLOOKUP($C98,CapRate,14),0)</f>
        <v>196</v>
      </c>
      <c r="AY98" s="109">
        <f>ROUND(Y98/VLOOKUP($C98,CapRate,15),0)</f>
        <v>252</v>
      </c>
      <c r="AZ98" s="109">
        <f>ROUND(Z98/VLOOKUP($C98,CapRate,16),0)</f>
        <v>299</v>
      </c>
      <c r="BA98" s="109">
        <f>ROUND(AA98/VLOOKUP($C98,CapRate,17),0)</f>
        <v>346</v>
      </c>
      <c r="BB98" s="109">
        <f>ROUND(AB98/VLOOKUP($C98,CapRate,18),0)</f>
        <v>402</v>
      </c>
      <c r="BC98" s="109">
        <f>ROUND(AC98/VLOOKUP($C98,CapRate,19),0)</f>
        <v>419</v>
      </c>
      <c r="BD98" s="109">
        <f>ROUND(AD98/VLOOKUP($C98,CapRate,20),0)</f>
        <v>417</v>
      </c>
      <c r="BE98" s="109">
        <f>ROUND(AE98/VLOOKUP($C98,CapRate,21),0)</f>
        <v>399</v>
      </c>
      <c r="BF98" s="109">
        <f>ROUND(AF98/VLOOKUP($C98,CapRate,22),0)</f>
        <v>380</v>
      </c>
      <c r="BG98" s="109">
        <f>ROUND(AG98/VLOOKUP($C98,CapRate,23),0)</f>
        <v>361</v>
      </c>
      <c r="BH98" s="109">
        <f>ROUND(AH98/VLOOKUP($C98,CapRate,24),0)</f>
        <v>317</v>
      </c>
      <c r="BI98" s="109">
        <f>ROUND(AI98/VLOOKUP($C98,CapRate,25),0)</f>
        <v>235</v>
      </c>
      <c r="BJ98" s="109">
        <f>ROUND(AJ98/VLOOKUP($C98,CapRate,26),0)</f>
        <v>179</v>
      </c>
      <c r="BK98" s="113">
        <f t="shared" si="13"/>
        <v>-0.23829787234042554</v>
      </c>
      <c r="BL98" s="114">
        <f>((F96*BK96)+(F97*BK97)+(F98*BK98))</f>
        <v>-0.23338233283654491</v>
      </c>
      <c r="BM98" s="120"/>
      <c r="BN98" s="115"/>
      <c r="BO98" s="115">
        <f>BK98</f>
        <v>-0.23829787234042554</v>
      </c>
      <c r="BP98" s="115"/>
    </row>
    <row r="99" spans="1:70" ht="15.9" customHeight="1" thickTop="1">
      <c r="A99" s="8" t="s">
        <v>65</v>
      </c>
      <c r="B99" s="22"/>
      <c r="C99" s="8" t="s">
        <v>79</v>
      </c>
      <c r="D99" s="23" t="s">
        <v>79</v>
      </c>
      <c r="E99" s="8" t="s">
        <v>39</v>
      </c>
      <c r="F99" s="188">
        <f>[1]AcreSummary!M33</f>
        <v>0.10537416701837969</v>
      </c>
      <c r="G99" s="25"/>
      <c r="H99" s="117"/>
      <c r="I99" s="57">
        <f>[1]Native!E31</f>
        <v>4.3499999999999996</v>
      </c>
      <c r="J99" s="58">
        <f>[1]Native!F31</f>
        <v>4.3600000000000003</v>
      </c>
      <c r="K99" s="80">
        <f>[1]Native!G31</f>
        <v>4.49</v>
      </c>
      <c r="L99" s="68">
        <f>[1]Native!H31</f>
        <v>4.5199999999999996</v>
      </c>
      <c r="M99" s="58">
        <f>[1]Native!I31</f>
        <v>4.5</v>
      </c>
      <c r="N99" s="81">
        <f>[1]Native!J31</f>
        <v>4.43</v>
      </c>
      <c r="O99" s="62">
        <v>4.4000000000000004</v>
      </c>
      <c r="P99" s="81">
        <f>[1]Native!K31</f>
        <v>4.26</v>
      </c>
      <c r="Q99" s="82">
        <f>[1]Native!L31</f>
        <v>4.1100000000000003</v>
      </c>
      <c r="R99" s="83">
        <v>4.1100000000000003</v>
      </c>
      <c r="S99" s="84">
        <f>[1]Native!M31</f>
        <v>4.12</v>
      </c>
      <c r="T99" s="66">
        <f>[1]Native!N31</f>
        <v>4.08</v>
      </c>
      <c r="U99" s="67">
        <f>[1]Native!O31</f>
        <v>3.94</v>
      </c>
      <c r="V99" s="68">
        <f>[1]Native!P31</f>
        <v>-1.06</v>
      </c>
      <c r="W99" s="68">
        <f>[1]Native!Q31</f>
        <v>-2.83</v>
      </c>
      <c r="X99" s="68">
        <v>-3.72</v>
      </c>
      <c r="Y99" s="68">
        <v>-4.49</v>
      </c>
      <c r="Z99" s="68">
        <v>-4.17</v>
      </c>
      <c r="AA99" s="68">
        <v>-3.69</v>
      </c>
      <c r="AB99" s="68">
        <v>-3.09</v>
      </c>
      <c r="AC99" s="68">
        <v>-2.42</v>
      </c>
      <c r="AD99" s="68">
        <v>-0.98</v>
      </c>
      <c r="AE99" s="68">
        <v>0.51</v>
      </c>
      <c r="AF99" s="68">
        <v>1.04</v>
      </c>
      <c r="AG99" s="69">
        <v>1.5</v>
      </c>
      <c r="AH99" s="70">
        <v>1.83</v>
      </c>
      <c r="AI99" s="70">
        <v>1.65</v>
      </c>
      <c r="AJ99" s="70">
        <v>1.65</v>
      </c>
      <c r="AK99" s="8">
        <f t="shared" si="19"/>
        <v>31</v>
      </c>
      <c r="AL99" s="8">
        <f t="shared" si="20"/>
        <v>31</v>
      </c>
      <c r="AM99" s="85">
        <f t="shared" si="21"/>
        <v>31</v>
      </c>
      <c r="AN99" s="23">
        <f t="shared" si="22"/>
        <v>32</v>
      </c>
      <c r="AO99" s="85">
        <f t="shared" si="17"/>
        <v>32</v>
      </c>
      <c r="AP99" s="72">
        <f t="shared" si="18"/>
        <v>31</v>
      </c>
      <c r="AQ99" s="71">
        <f t="shared" si="11"/>
        <v>30</v>
      </c>
      <c r="AR99" s="71">
        <f t="shared" si="11"/>
        <v>30</v>
      </c>
      <c r="AS99" s="71">
        <f t="shared" si="14"/>
        <v>30</v>
      </c>
      <c r="AT99" s="71">
        <f t="shared" si="15"/>
        <v>30</v>
      </c>
      <c r="AU99" s="71">
        <f t="shared" si="12"/>
        <v>29</v>
      </c>
      <c r="AV99" s="122">
        <f>IF(ROUND(V99/VLOOKUP($C99,CapRate,12),0)&gt;10,V99/VLOOKUP($C99,CapRate,12),10)</f>
        <v>10</v>
      </c>
      <c r="AW99" s="122">
        <f>IF(ROUND(W99/VLOOKUP($C99,CapRate,13),0)&gt;10,W99/VLOOKUP($C99,CapRate,13),10)</f>
        <v>10</v>
      </c>
      <c r="AX99" s="122">
        <f>IF(ROUND(X99/VLOOKUP($C99,CapRate,14),0)&gt;10,X99/VLOOKUP($C99,CapRate,14),10)</f>
        <v>10</v>
      </c>
      <c r="AY99" s="122">
        <f>IF(ROUND(Y99/VLOOKUP($C99,CapRate,15),0)&gt;10,Y99/VLOOKUP($C99,CapRate,15),10)</f>
        <v>10</v>
      </c>
      <c r="AZ99" s="122">
        <f>IF(ROUND(Z99/VLOOKUP($C99,CapRate,16),0)&gt;10,Z99/VLOOKUP($C99,CapRate,16),10)</f>
        <v>10</v>
      </c>
      <c r="BA99" s="122">
        <f>IF(ROUND(AA99/VLOOKUP($C99,CapRate,17),0)&gt;10,AA99/VLOOKUP($C99,CapRate,17),10)</f>
        <v>10</v>
      </c>
      <c r="BB99" s="122">
        <f>IF(ROUND(AB99/VLOOKUP($C99,CapRate,18),0)&gt;10,AB99/VLOOKUP($C99,CapRate,18),10)</f>
        <v>10</v>
      </c>
      <c r="BC99" s="122">
        <f>IF(ROUND(AC99/VLOOKUP($C99,CapRate,19),0)&gt;10,AC99/VLOOKUP($C99,CapRate,19),10)</f>
        <v>10</v>
      </c>
      <c r="BD99" s="122">
        <f>IF(ROUND(AD99/VLOOKUP($C99,CapRate,20),0)&gt;10,AD99/VLOOKUP($C99,CapRate,20),10)</f>
        <v>10</v>
      </c>
      <c r="BE99" s="122">
        <f>IF(ROUND(AE99/VLOOKUP($C99,CapRate,21),0)&gt;10,AE99/VLOOKUP($C99,CapRate,21),10)</f>
        <v>10</v>
      </c>
      <c r="BF99" s="122">
        <f>IF(ROUND(AF99/VLOOKUP($C99,CapRate,22),0)&gt;10,AF99/VLOOKUP($C99,CapRate,22),10)</f>
        <v>10</v>
      </c>
      <c r="BG99" s="122">
        <f>IF(ROUND(AG99/VLOOKUP($C99,CapRate,23),0)&gt;10,AG99/VLOOKUP($C99,CapRate,23),10)</f>
        <v>10</v>
      </c>
      <c r="BH99" s="122">
        <f>IF(ROUND(AH99/VLOOKUP($C99,CapRate,24),0)&gt;10,AH99/VLOOKUP($C99,CapRate,24),10)</f>
        <v>10.866983372921617</v>
      </c>
      <c r="BI99" s="122">
        <f>IF(ROUND(AI99/VLOOKUP($C99,CapRate,25),0)&gt;10,AI99/VLOOKUP($C99,CapRate,25),10)</f>
        <v>10</v>
      </c>
      <c r="BJ99" s="122">
        <f>IF(ROUND(AJ99/VLOOKUP($C99,CapRate,26),0)&gt;10,AJ99/VLOOKUP($C99,CapRate,26),10)</f>
        <v>10</v>
      </c>
      <c r="BK99" s="75">
        <f t="shared" si="13"/>
        <v>0</v>
      </c>
      <c r="BL99" s="76"/>
      <c r="BM99" s="77">
        <f>BK99</f>
        <v>0</v>
      </c>
      <c r="BN99" s="77"/>
      <c r="BO99" s="77"/>
      <c r="BP99" s="77"/>
    </row>
    <row r="100" spans="1:70" ht="15.9" customHeight="1">
      <c r="A100" s="8" t="s">
        <v>65</v>
      </c>
      <c r="B100" s="22"/>
      <c r="C100" s="8" t="s">
        <v>79</v>
      </c>
      <c r="D100" s="23"/>
      <c r="E100" s="8" t="s">
        <v>40</v>
      </c>
      <c r="F100" s="188">
        <f>[1]AcreSummary!J33</f>
        <v>0.68805344263968948</v>
      </c>
      <c r="G100" s="25"/>
      <c r="H100" s="117"/>
      <c r="I100" s="57">
        <f>[1]Dry!E33</f>
        <v>11.06</v>
      </c>
      <c r="J100" s="58">
        <f>[1]Dry!F33</f>
        <v>11.04</v>
      </c>
      <c r="K100" s="80">
        <f>[1]Dry!G33</f>
        <v>11.09</v>
      </c>
      <c r="L100" s="68">
        <f>[1]Dry!H33</f>
        <v>11.29</v>
      </c>
      <c r="M100" s="58">
        <f>[1]Dry!I33</f>
        <v>11.53</v>
      </c>
      <c r="N100" s="81">
        <f>[1]Dry!J33</f>
        <v>11.8</v>
      </c>
      <c r="O100" s="62">
        <v>11.86</v>
      </c>
      <c r="P100" s="81">
        <f>[1]Dry!K33</f>
        <v>11.86</v>
      </c>
      <c r="Q100" s="82">
        <f>[1]Dry!L33</f>
        <v>11.9</v>
      </c>
      <c r="R100" s="83">
        <f>Q100*0.95</f>
        <v>11.305</v>
      </c>
      <c r="S100" s="84">
        <f>[1]Dry!N33</f>
        <v>11.28</v>
      </c>
      <c r="T100" s="66">
        <f>[1]Dry!O33</f>
        <v>10.57</v>
      </c>
      <c r="U100" s="67">
        <f>[1]Dry!P33</f>
        <v>9.92</v>
      </c>
      <c r="V100" s="68">
        <f>[1]Dry!Q33</f>
        <v>5.95</v>
      </c>
      <c r="W100" s="68">
        <f>[1]Dry!R33</f>
        <v>7.06</v>
      </c>
      <c r="X100" s="68">
        <f>[1]Dry!S33</f>
        <v>8.5</v>
      </c>
      <c r="Y100" s="68">
        <f>[1]Dry!T33</f>
        <v>10.6</v>
      </c>
      <c r="Z100" s="68">
        <v>11.51</v>
      </c>
      <c r="AA100" s="68">
        <v>12.51</v>
      </c>
      <c r="AB100" s="68">
        <v>13.11</v>
      </c>
      <c r="AC100" s="68">
        <v>13.75</v>
      </c>
      <c r="AD100" s="68">
        <v>13.84</v>
      </c>
      <c r="AE100" s="68">
        <v>12.62</v>
      </c>
      <c r="AF100" s="68">
        <v>11.14</v>
      </c>
      <c r="AG100" s="69">
        <v>8.85</v>
      </c>
      <c r="AH100" s="70">
        <v>6.24</v>
      </c>
      <c r="AI100" s="70">
        <v>2.78</v>
      </c>
      <c r="AJ100" s="70">
        <v>1.5</v>
      </c>
      <c r="AK100" s="8">
        <f t="shared" si="19"/>
        <v>77</v>
      </c>
      <c r="AL100" s="8">
        <f t="shared" si="20"/>
        <v>78</v>
      </c>
      <c r="AM100" s="85">
        <f t="shared" si="21"/>
        <v>78</v>
      </c>
      <c r="AN100" s="23">
        <f t="shared" si="22"/>
        <v>81</v>
      </c>
      <c r="AO100" s="85">
        <f t="shared" si="17"/>
        <v>87</v>
      </c>
      <c r="AP100" s="72">
        <f t="shared" si="18"/>
        <v>88</v>
      </c>
      <c r="AQ100" s="71">
        <f t="shared" ref="AQ100:AR163" si="23">ROUND(Q100/VLOOKUP($C100,CapRate,8),0)</f>
        <v>88</v>
      </c>
      <c r="AR100" s="71">
        <f t="shared" si="23"/>
        <v>83</v>
      </c>
      <c r="AS100" s="71">
        <f t="shared" si="14"/>
        <v>83</v>
      </c>
      <c r="AT100" s="71">
        <f t="shared" si="15"/>
        <v>77</v>
      </c>
      <c r="AU100" s="71">
        <f t="shared" ref="AU100:AU163" si="24">ROUND(U100/VLOOKUP($C100,CapRate,11),0)</f>
        <v>73</v>
      </c>
      <c r="AV100" s="72">
        <f t="shared" ref="AV100:AV163" si="25">ROUND(V100/VLOOKUP($C100,CapRate,12),0)</f>
        <v>43</v>
      </c>
      <c r="AW100" s="72">
        <f>ROUND(W100/VLOOKUP($C100,CapRate,13),0)</f>
        <v>50</v>
      </c>
      <c r="AX100" s="72">
        <f>ROUND(X100/VLOOKUP($C100,CapRate,14),0)</f>
        <v>60</v>
      </c>
      <c r="AY100" s="72">
        <f>ROUND(Y100/VLOOKUP($C100,CapRate,15),0)</f>
        <v>73</v>
      </c>
      <c r="AZ100" s="72">
        <f>ROUND(Z100/VLOOKUP($C100,CapRate,16),0)</f>
        <v>79</v>
      </c>
      <c r="BA100" s="72">
        <f>ROUND(AA100/VLOOKUP($C100,CapRate,17),0)</f>
        <v>83</v>
      </c>
      <c r="BB100" s="72">
        <f>ROUND(AB100/VLOOKUP($C100,CapRate,18),0)</f>
        <v>86</v>
      </c>
      <c r="BC100" s="72">
        <f>ROUND(AC100/VLOOKUP($C100,CapRate,19),0)</f>
        <v>88</v>
      </c>
      <c r="BD100" s="72">
        <f>ROUND(AD100/VLOOKUP($C100,CapRate,20),0)</f>
        <v>87</v>
      </c>
      <c r="BE100" s="72">
        <f>ROUND(AE100/VLOOKUP($C100,CapRate,21),0)</f>
        <v>78</v>
      </c>
      <c r="BF100" s="72">
        <f>ROUND(AF100/VLOOKUP($C100,CapRate,22),0)</f>
        <v>68</v>
      </c>
      <c r="BG100" s="72">
        <f>ROUND(AG100/VLOOKUP($C100,CapRate,23),0)</f>
        <v>53</v>
      </c>
      <c r="BH100" s="72">
        <f>ROUND(AH100/VLOOKUP($C100,CapRate,24),0)</f>
        <v>37</v>
      </c>
      <c r="BI100" s="72">
        <f>ROUND(AI100/VLOOKUP($C100,CapRate,25),0)</f>
        <v>16</v>
      </c>
      <c r="BJ100" s="72">
        <v>10</v>
      </c>
      <c r="BK100" s="87">
        <f t="shared" ref="BK100:BK163" si="26">SUM(BJ100/BI100)-1</f>
        <v>-0.375</v>
      </c>
      <c r="BL100" s="76"/>
      <c r="BM100" s="127"/>
      <c r="BN100" s="77">
        <f>BK100</f>
        <v>-0.375</v>
      </c>
      <c r="BO100" s="77"/>
      <c r="BP100" s="77"/>
    </row>
    <row r="101" spans="1:70" ht="15.9" customHeight="1" thickBot="1">
      <c r="A101" s="8" t="s">
        <v>65</v>
      </c>
      <c r="B101" s="22"/>
      <c r="C101" s="90" t="s">
        <v>79</v>
      </c>
      <c r="D101" s="91"/>
      <c r="E101" s="90" t="s">
        <v>41</v>
      </c>
      <c r="F101" s="190">
        <f>[1]AcreSummary!K33</f>
        <v>0.20657239034193087</v>
      </c>
      <c r="G101" s="191">
        <f>[1]Irrigated!D33</f>
        <v>400</v>
      </c>
      <c r="H101" s="94">
        <f>[1]Irrigated!E33</f>
        <v>0.34</v>
      </c>
      <c r="I101" s="95"/>
      <c r="J101" s="96">
        <f>[1]Irrigated!H33</f>
        <v>14.88</v>
      </c>
      <c r="K101" s="97">
        <f>[1]Irrigated!I33</f>
        <v>18.03</v>
      </c>
      <c r="L101" s="98">
        <f>[1]Irrigated!J33</f>
        <v>20.88</v>
      </c>
      <c r="M101" s="96">
        <f>[1]Irrigated!K33</f>
        <v>25.34</v>
      </c>
      <c r="N101" s="99">
        <f>[1]Irrigated!L33</f>
        <v>27.74</v>
      </c>
      <c r="O101" s="100">
        <v>21</v>
      </c>
      <c r="P101" s="99">
        <f>[1]Irrigated!M33</f>
        <v>27.81</v>
      </c>
      <c r="Q101" s="101">
        <f>[1]Irrigated!N33</f>
        <v>25.9</v>
      </c>
      <c r="R101" s="102">
        <v>25.9</v>
      </c>
      <c r="S101" s="103">
        <f>[1]Irrigated!O33</f>
        <v>24.77</v>
      </c>
      <c r="T101" s="104">
        <f>[1]Irrigated!P33</f>
        <v>24.77</v>
      </c>
      <c r="U101" s="105">
        <f>[1]Irrigated!Q33</f>
        <v>22.81</v>
      </c>
      <c r="V101" s="98">
        <f>[1]Irrigated!R33</f>
        <v>20.03</v>
      </c>
      <c r="W101" s="98">
        <f>[1]Irrigated!S33</f>
        <v>25.85</v>
      </c>
      <c r="X101" s="98">
        <v>31.3</v>
      </c>
      <c r="Y101" s="98">
        <v>39.630000000000003</v>
      </c>
      <c r="Z101" s="98">
        <v>46.73</v>
      </c>
      <c r="AA101" s="98">
        <v>54.25</v>
      </c>
      <c r="AB101" s="98">
        <v>63.27</v>
      </c>
      <c r="AC101" s="98">
        <v>69.28</v>
      </c>
      <c r="AD101" s="98">
        <v>69.81</v>
      </c>
      <c r="AE101" s="98">
        <v>67.95</v>
      </c>
      <c r="AF101" s="98">
        <v>65.680000000000007</v>
      </c>
      <c r="AG101" s="106">
        <v>63.41</v>
      </c>
      <c r="AH101" s="107">
        <v>56.96</v>
      </c>
      <c r="AI101" s="107">
        <v>44.61</v>
      </c>
      <c r="AJ101" s="107">
        <v>36.130000000000003</v>
      </c>
      <c r="AK101" s="90">
        <f t="shared" si="19"/>
        <v>104</v>
      </c>
      <c r="AL101" s="90">
        <f t="shared" si="20"/>
        <v>126</v>
      </c>
      <c r="AM101" s="108">
        <f t="shared" si="21"/>
        <v>145</v>
      </c>
      <c r="AN101" s="91">
        <f t="shared" si="22"/>
        <v>179</v>
      </c>
      <c r="AO101" s="108">
        <f t="shared" si="17"/>
        <v>154</v>
      </c>
      <c r="AP101" s="109">
        <f t="shared" si="18"/>
        <v>206</v>
      </c>
      <c r="AQ101" s="110">
        <f t="shared" si="23"/>
        <v>191</v>
      </c>
      <c r="AR101" s="110">
        <f t="shared" si="23"/>
        <v>191</v>
      </c>
      <c r="AS101" s="110">
        <f t="shared" ref="AS101:AS164" si="27">ROUND(S101/VLOOKUP($C101,CapRate,9),0)</f>
        <v>182</v>
      </c>
      <c r="AT101" s="110">
        <f t="shared" ref="AT101:AT164" si="28">ROUND(T101/VLOOKUP($C101,CapRate,10),0)</f>
        <v>182</v>
      </c>
      <c r="AU101" s="110">
        <f t="shared" si="24"/>
        <v>167</v>
      </c>
      <c r="AV101" s="109">
        <f t="shared" si="25"/>
        <v>144</v>
      </c>
      <c r="AW101" s="109">
        <f>ROUND(W101/VLOOKUP($C101,CapRate,13),0)</f>
        <v>183</v>
      </c>
      <c r="AX101" s="109">
        <f>ROUND(X101/VLOOKUP($C101,CapRate,14),0)</f>
        <v>220</v>
      </c>
      <c r="AY101" s="109">
        <f>ROUND(Y101/VLOOKUP($C101,CapRate,15),0)</f>
        <v>273</v>
      </c>
      <c r="AZ101" s="109">
        <f>ROUND(Z101/VLOOKUP($C101,CapRate,16),0)</f>
        <v>319</v>
      </c>
      <c r="BA101" s="109">
        <f>ROUND(AA101/VLOOKUP($C101,CapRate,17),0)</f>
        <v>362</v>
      </c>
      <c r="BB101" s="109">
        <f>ROUND(AB101/VLOOKUP($C101,CapRate,18),0)</f>
        <v>415</v>
      </c>
      <c r="BC101" s="109">
        <f>ROUND(AC101/VLOOKUP($C101,CapRate,19),0)</f>
        <v>444</v>
      </c>
      <c r="BD101" s="109">
        <f>ROUND(AD101/VLOOKUP($C101,CapRate,20),0)</f>
        <v>438</v>
      </c>
      <c r="BE101" s="109">
        <f>ROUND(AE101/VLOOKUP($C101,CapRate,21),0)</f>
        <v>421</v>
      </c>
      <c r="BF101" s="109">
        <f>ROUND(AF101/VLOOKUP($C101,CapRate,22),0)</f>
        <v>403</v>
      </c>
      <c r="BG101" s="109">
        <f>ROUND(AG101/VLOOKUP($C101,CapRate,23),0)</f>
        <v>383</v>
      </c>
      <c r="BH101" s="109">
        <f>ROUND(AH101/VLOOKUP($C101,CapRate,24),0)</f>
        <v>338</v>
      </c>
      <c r="BI101" s="109">
        <f>ROUND(AI101/VLOOKUP($C101,CapRate,25),0)</f>
        <v>264</v>
      </c>
      <c r="BJ101" s="109">
        <f>ROUND(AJ101/VLOOKUP($C101,CapRate,26),0)</f>
        <v>213</v>
      </c>
      <c r="BK101" s="113">
        <f t="shared" si="26"/>
        <v>-0.19318181818181823</v>
      </c>
      <c r="BL101" s="114">
        <f>((F99*BK99)+(F100*BK100)+(F101*BK101))</f>
        <v>-0.29792607094230206</v>
      </c>
      <c r="BM101" s="120"/>
      <c r="BN101" s="115"/>
      <c r="BO101" s="115">
        <f>BK101</f>
        <v>-0.19318181818181823</v>
      </c>
      <c r="BP101" s="115"/>
    </row>
    <row r="102" spans="1:70" ht="15.9" customHeight="1" thickTop="1">
      <c r="A102" s="8" t="s">
        <v>65</v>
      </c>
      <c r="B102" s="22"/>
      <c r="C102" s="8" t="s">
        <v>80</v>
      </c>
      <c r="D102" s="23" t="s">
        <v>80</v>
      </c>
      <c r="E102" s="8" t="s">
        <v>39</v>
      </c>
      <c r="F102" s="188">
        <f>[1]AcreSummary!M34</f>
        <v>0.16832919187191045</v>
      </c>
      <c r="G102" s="25"/>
      <c r="H102" s="117"/>
      <c r="I102" s="57">
        <f>[1]Native!E32</f>
        <v>4.05</v>
      </c>
      <c r="J102" s="58">
        <f>[1]Native!F32</f>
        <v>4.13</v>
      </c>
      <c r="K102" s="80">
        <f>[1]Native!G32</f>
        <v>4.28</v>
      </c>
      <c r="L102" s="68">
        <f>[1]Native!H32</f>
        <v>4.3099999999999996</v>
      </c>
      <c r="M102" s="58">
        <f>[1]Native!I32</f>
        <v>4.3</v>
      </c>
      <c r="N102" s="81">
        <f>[1]Native!J32</f>
        <v>4.2300000000000004</v>
      </c>
      <c r="O102" s="62">
        <v>4.2</v>
      </c>
      <c r="P102" s="81">
        <f>[1]Native!K32</f>
        <v>4.07</v>
      </c>
      <c r="Q102" s="82">
        <f>[1]Native!L32</f>
        <v>3.95</v>
      </c>
      <c r="R102" s="83">
        <v>3.95</v>
      </c>
      <c r="S102" s="84">
        <f>[1]Native!M32</f>
        <v>3.97</v>
      </c>
      <c r="T102" s="66">
        <f>[1]Native!N32</f>
        <v>3.94</v>
      </c>
      <c r="U102" s="67">
        <f>[1]Native!O32</f>
        <v>3.8</v>
      </c>
      <c r="V102" s="68">
        <f>[1]Native!P32</f>
        <v>-1.22</v>
      </c>
      <c r="W102" s="68">
        <f>[1]Native!Q32</f>
        <v>-3.04</v>
      </c>
      <c r="X102" s="68">
        <v>-3.86</v>
      </c>
      <c r="Y102" s="68">
        <v>-4.6399999999999997</v>
      </c>
      <c r="Z102" s="68">
        <v>-4.32</v>
      </c>
      <c r="AA102" s="68">
        <v>-3.84</v>
      </c>
      <c r="AB102" s="68">
        <v>-3.25</v>
      </c>
      <c r="AC102" s="68">
        <v>-2.63</v>
      </c>
      <c r="AD102" s="68">
        <v>-1.1200000000000001</v>
      </c>
      <c r="AE102" s="68">
        <v>0.37</v>
      </c>
      <c r="AF102" s="68">
        <v>0.87</v>
      </c>
      <c r="AG102" s="69">
        <v>1.31</v>
      </c>
      <c r="AH102" s="70">
        <v>1.62</v>
      </c>
      <c r="AI102" s="70">
        <v>1.4</v>
      </c>
      <c r="AJ102" s="70">
        <v>1.37</v>
      </c>
      <c r="AK102" s="8">
        <f t="shared" si="19"/>
        <v>31</v>
      </c>
      <c r="AL102" s="8">
        <f t="shared" si="20"/>
        <v>32</v>
      </c>
      <c r="AM102" s="85">
        <f t="shared" si="21"/>
        <v>32</v>
      </c>
      <c r="AN102" s="23">
        <f t="shared" si="22"/>
        <v>32</v>
      </c>
      <c r="AO102" s="85">
        <f t="shared" si="17"/>
        <v>33</v>
      </c>
      <c r="AP102" s="72">
        <f t="shared" si="18"/>
        <v>32</v>
      </c>
      <c r="AQ102" s="71">
        <f t="shared" si="23"/>
        <v>31</v>
      </c>
      <c r="AR102" s="71">
        <f t="shared" si="23"/>
        <v>31</v>
      </c>
      <c r="AS102" s="71">
        <f t="shared" si="27"/>
        <v>31</v>
      </c>
      <c r="AT102" s="71">
        <f t="shared" si="28"/>
        <v>31</v>
      </c>
      <c r="AU102" s="71">
        <f t="shared" si="24"/>
        <v>30</v>
      </c>
      <c r="AV102" s="122">
        <f>IF(ROUND(V102/VLOOKUP($C102,CapRate,12),0)&gt;10,V102/VLOOKUP($C102,CapRate,12),10)</f>
        <v>10</v>
      </c>
      <c r="AW102" s="122">
        <f>IF(ROUND(W102/VLOOKUP($C102,CapRate,13),0)&gt;10,W102/VLOOKUP($C102,CapRate,13),10)</f>
        <v>10</v>
      </c>
      <c r="AX102" s="122">
        <f>IF(ROUND(X102/VLOOKUP($C102,CapRate,14),0)&gt;10,X102/VLOOKUP($C102,CapRate,14),10)</f>
        <v>10</v>
      </c>
      <c r="AY102" s="122">
        <f>IF(ROUND(Y102/VLOOKUP($C102,CapRate,15),0)&gt;10,Y102/VLOOKUP($C102,CapRate,15),10)</f>
        <v>10</v>
      </c>
      <c r="AZ102" s="122">
        <f>IF(ROUND(Z102/VLOOKUP($C102,CapRate,16),0)&gt;10,Z102/VLOOKUP($C102,CapRate,16),10)</f>
        <v>10</v>
      </c>
      <c r="BA102" s="122">
        <f>IF(ROUND(AA102/VLOOKUP($C102,CapRate,17),0)&gt;10,AA102/VLOOKUP($C102,CapRate,17),10)</f>
        <v>10</v>
      </c>
      <c r="BB102" s="122">
        <f>IF(ROUND(AB102/VLOOKUP($C102,CapRate,18),0)&gt;10,AB102/VLOOKUP($C102,CapRate,18),10)</f>
        <v>10</v>
      </c>
      <c r="BC102" s="122">
        <f>IF(ROUND(AC102/VLOOKUP($C102,CapRate,19),0)&gt;10,AC102/VLOOKUP($C102,CapRate,19),10)</f>
        <v>10</v>
      </c>
      <c r="BD102" s="122">
        <f>IF(ROUND(AD102/VLOOKUP($C102,CapRate,20),0)&gt;10,AD102/VLOOKUP($C102,CapRate,20),10)</f>
        <v>10</v>
      </c>
      <c r="BE102" s="122">
        <f>IF(ROUND(AE102/VLOOKUP($C102,CapRate,21),0)&gt;10,AE102/VLOOKUP($C102,CapRate,21),10)</f>
        <v>10</v>
      </c>
      <c r="BF102" s="122">
        <f>IF(ROUND(AF102/VLOOKUP($C102,CapRate,22),0)&gt;10,AF102/VLOOKUP($C102,CapRate,22),10)</f>
        <v>10</v>
      </c>
      <c r="BG102" s="122">
        <f>IF(ROUND(AG102/VLOOKUP($C102,CapRate,23),0)&gt;10,AG102/VLOOKUP($C102,CapRate,23),10)</f>
        <v>10</v>
      </c>
      <c r="BH102" s="122">
        <f>IF(ROUND(AH102/VLOOKUP($C102,CapRate,24),0)&gt;10,AH102/VLOOKUP($C102,CapRate,24),10)</f>
        <v>10</v>
      </c>
      <c r="BI102" s="122">
        <f>IF(ROUND(AI102/VLOOKUP($C102,CapRate,25),0)&gt;10,AI102/VLOOKUP($C102,CapRate,25),10)</f>
        <v>10</v>
      </c>
      <c r="BJ102" s="122">
        <f>IF(ROUND(AJ102/VLOOKUP($C102,CapRate,26),0)&gt;10,AJ102/VLOOKUP($C102,CapRate,26),10)</f>
        <v>10</v>
      </c>
      <c r="BK102" s="75">
        <f t="shared" si="26"/>
        <v>0</v>
      </c>
      <c r="BL102" s="76"/>
      <c r="BM102" s="77">
        <f>BK102</f>
        <v>0</v>
      </c>
      <c r="BN102" s="77"/>
      <c r="BO102" s="77"/>
      <c r="BP102" s="77"/>
    </row>
    <row r="103" spans="1:70" ht="15.9" customHeight="1">
      <c r="A103" s="8" t="s">
        <v>65</v>
      </c>
      <c r="B103" s="22"/>
      <c r="C103" s="8" t="s">
        <v>80</v>
      </c>
      <c r="D103" s="23"/>
      <c r="E103" s="8" t="s">
        <v>40</v>
      </c>
      <c r="F103" s="188">
        <f>[1]AcreSummary!J34</f>
        <v>0.47697422800766504</v>
      </c>
      <c r="G103" s="25"/>
      <c r="H103" s="117"/>
      <c r="I103" s="57">
        <f>[1]Dry!E34</f>
        <v>12.59</v>
      </c>
      <c r="J103" s="58">
        <f>[1]Dry!F34</f>
        <v>11.4</v>
      </c>
      <c r="K103" s="80">
        <f>[1]Dry!G34</f>
        <v>12.69</v>
      </c>
      <c r="L103" s="68">
        <f>[1]Dry!H34</f>
        <v>13.87</v>
      </c>
      <c r="M103" s="58">
        <f>[1]Dry!I34</f>
        <v>11.9</v>
      </c>
      <c r="N103" s="81">
        <f>[1]Dry!J34</f>
        <v>12.18</v>
      </c>
      <c r="O103" s="62">
        <v>12.15</v>
      </c>
      <c r="P103" s="81">
        <f>[1]Dry!K34</f>
        <v>12.1</v>
      </c>
      <c r="Q103" s="82">
        <f>[1]Dry!L34</f>
        <v>11.8</v>
      </c>
      <c r="R103" s="83">
        <f>Q103*0.95</f>
        <v>11.21</v>
      </c>
      <c r="S103" s="84">
        <f>[1]Dry!N34</f>
        <v>10.82</v>
      </c>
      <c r="T103" s="66">
        <f>[1]Dry!O34</f>
        <v>10.02</v>
      </c>
      <c r="U103" s="67">
        <f>[1]Dry!P34</f>
        <v>8.83</v>
      </c>
      <c r="V103" s="68">
        <f>[1]Dry!Q34</f>
        <v>4.55</v>
      </c>
      <c r="W103" s="68">
        <f>[1]Dry!R34</f>
        <v>5.6</v>
      </c>
      <c r="X103" s="68">
        <f>[1]Dry!S34</f>
        <v>7.24</v>
      </c>
      <c r="Y103" s="68">
        <f>[1]Dry!T34</f>
        <v>9.18</v>
      </c>
      <c r="Z103" s="68">
        <v>9.69</v>
      </c>
      <c r="AA103" s="68">
        <v>10.36</v>
      </c>
      <c r="AB103" s="68">
        <v>10.37</v>
      </c>
      <c r="AC103" s="68">
        <v>10.48</v>
      </c>
      <c r="AD103" s="68">
        <v>9.9700000000000006</v>
      </c>
      <c r="AE103" s="68">
        <v>8.1</v>
      </c>
      <c r="AF103" s="68">
        <v>5.92</v>
      </c>
      <c r="AG103" s="69">
        <v>3.49</v>
      </c>
      <c r="AH103" s="70">
        <v>0.94</v>
      </c>
      <c r="AI103" s="70">
        <v>-3.64</v>
      </c>
      <c r="AJ103" s="70">
        <v>-6.57</v>
      </c>
      <c r="AK103" s="8">
        <f t="shared" si="19"/>
        <v>86</v>
      </c>
      <c r="AL103" s="8">
        <f t="shared" si="20"/>
        <v>95</v>
      </c>
      <c r="AM103" s="85">
        <f t="shared" si="21"/>
        <v>102</v>
      </c>
      <c r="AN103" s="23">
        <f t="shared" si="22"/>
        <v>89</v>
      </c>
      <c r="AO103" s="85">
        <f t="shared" si="17"/>
        <v>94</v>
      </c>
      <c r="AP103" s="72">
        <f t="shared" si="18"/>
        <v>95</v>
      </c>
      <c r="AQ103" s="71">
        <f t="shared" si="23"/>
        <v>92</v>
      </c>
      <c r="AR103" s="71">
        <f t="shared" si="23"/>
        <v>88</v>
      </c>
      <c r="AS103" s="71">
        <f t="shared" si="27"/>
        <v>85</v>
      </c>
      <c r="AT103" s="71">
        <f t="shared" si="28"/>
        <v>78</v>
      </c>
      <c r="AU103" s="71">
        <f t="shared" si="24"/>
        <v>69</v>
      </c>
      <c r="AV103" s="72">
        <f t="shared" si="25"/>
        <v>35</v>
      </c>
      <c r="AW103" s="72">
        <f>ROUND(W103/VLOOKUP($C103,CapRate,13),0)</f>
        <v>42</v>
      </c>
      <c r="AX103" s="72">
        <f>ROUND(X103/VLOOKUP($C103,CapRate,14),0)</f>
        <v>55</v>
      </c>
      <c r="AY103" s="72">
        <f>ROUND(Y103/VLOOKUP($C103,CapRate,15),0)</f>
        <v>69</v>
      </c>
      <c r="AZ103" s="72">
        <f>ROUND(Z103/VLOOKUP($C103,CapRate,16),0)</f>
        <v>72</v>
      </c>
      <c r="BA103" s="72">
        <f>ROUND(AA103/VLOOKUP($C103,CapRate,17),0)</f>
        <v>76</v>
      </c>
      <c r="BB103" s="72">
        <f>ROUND(AB103/VLOOKUP($C103,CapRate,18),0)</f>
        <v>74</v>
      </c>
      <c r="BC103" s="72">
        <f>ROUND(AC103/VLOOKUP($C103,CapRate,19),0)</f>
        <v>73</v>
      </c>
      <c r="BD103" s="72">
        <f>ROUND(AD103/VLOOKUP($C103,CapRate,20),0)</f>
        <v>69</v>
      </c>
      <c r="BE103" s="72">
        <f>ROUND(AE103/VLOOKUP($C103,CapRate,21),0)</f>
        <v>55</v>
      </c>
      <c r="BF103" s="72">
        <f>ROUND(AF103/VLOOKUP($C103,CapRate,22),0)</f>
        <v>39</v>
      </c>
      <c r="BG103" s="72">
        <f>ROUND(AG103/VLOOKUP($C103,CapRate,23),0)</f>
        <v>23</v>
      </c>
      <c r="BH103" s="72">
        <f>IF(ROUND(AH103/VLOOKUP($C103,CapRate,24),0)&gt;10,AH103/VLOOKUP($C103,CapRate,24),10)</f>
        <v>10</v>
      </c>
      <c r="BI103" s="72">
        <f>IF(ROUND(AI103/VLOOKUP($C103,CapRate,25),0)&gt;10,AI103/VLOOKUP($C103,CapRate,25),10)</f>
        <v>10</v>
      </c>
      <c r="BJ103" s="72">
        <f>IF(ROUND(AJ103/VLOOKUP($C103,CapRate,26),0)&gt;10,AJ103/VLOOKUP($C103,CapRate,26),10)</f>
        <v>10</v>
      </c>
      <c r="BK103" s="87">
        <f t="shared" si="26"/>
        <v>0</v>
      </c>
      <c r="BL103" s="76"/>
      <c r="BM103" s="77"/>
      <c r="BN103" s="77">
        <f>BK103</f>
        <v>0</v>
      </c>
      <c r="BO103" s="77"/>
      <c r="BP103" s="77"/>
    </row>
    <row r="104" spans="1:70" ht="15.9" customHeight="1" thickBot="1">
      <c r="A104" s="90" t="s">
        <v>65</v>
      </c>
      <c r="B104" s="194"/>
      <c r="C104" s="90" t="s">
        <v>80</v>
      </c>
      <c r="D104" s="195"/>
      <c r="E104" s="132" t="s">
        <v>41</v>
      </c>
      <c r="F104" s="196">
        <f>[1]AcreSummary!K34</f>
        <v>0.35469658012042449</v>
      </c>
      <c r="G104" s="197">
        <f>[1]Irrigated!D34</f>
        <v>500</v>
      </c>
      <c r="H104" s="135">
        <f>[1]Irrigated!E34</f>
        <v>0.38</v>
      </c>
      <c r="I104" s="136"/>
      <c r="J104" s="137">
        <f>[1]Irrigated!H34</f>
        <v>13.13</v>
      </c>
      <c r="K104" s="138">
        <f>[1]Irrigated!I34</f>
        <v>14.24</v>
      </c>
      <c r="L104" s="139">
        <f>[1]Irrigated!J34</f>
        <v>14.97</v>
      </c>
      <c r="M104" s="137">
        <f>[1]Irrigated!K34</f>
        <v>17.2</v>
      </c>
      <c r="N104" s="140">
        <f>[1]Irrigated!L34</f>
        <v>17.55</v>
      </c>
      <c r="O104" s="141">
        <v>16.82</v>
      </c>
      <c r="P104" s="140">
        <f>[1]Irrigated!M34</f>
        <v>15.63</v>
      </c>
      <c r="Q104" s="142">
        <f>[1]Irrigated!N34</f>
        <v>13.69</v>
      </c>
      <c r="R104" s="143">
        <v>13.69</v>
      </c>
      <c r="S104" s="144">
        <f>[1]Irrigated!O34</f>
        <v>12.54</v>
      </c>
      <c r="T104" s="145">
        <f>[1]Irrigated!P34</f>
        <v>12.53</v>
      </c>
      <c r="U104" s="146">
        <f>[1]Irrigated!Q34</f>
        <v>12.53</v>
      </c>
      <c r="V104" s="139">
        <f>[1]Irrigated!R34</f>
        <v>17.68</v>
      </c>
      <c r="W104" s="139">
        <f>[1]Irrigated!S34</f>
        <v>22.77</v>
      </c>
      <c r="X104" s="139">
        <v>27.35</v>
      </c>
      <c r="Y104" s="139">
        <v>34.72</v>
      </c>
      <c r="Z104" s="139">
        <v>40.76</v>
      </c>
      <c r="AA104" s="139">
        <v>47.14</v>
      </c>
      <c r="AB104" s="139">
        <v>54.99</v>
      </c>
      <c r="AC104" s="139">
        <v>60.61</v>
      </c>
      <c r="AD104" s="139">
        <v>46.3</v>
      </c>
      <c r="AE104" s="139">
        <v>43.31</v>
      </c>
      <c r="AF104" s="139">
        <v>40.51</v>
      </c>
      <c r="AG104" s="147">
        <v>38.119999999999997</v>
      </c>
      <c r="AH104" s="149">
        <v>31.74</v>
      </c>
      <c r="AI104" s="149">
        <v>19.32</v>
      </c>
      <c r="AJ104" s="70">
        <v>10.65</v>
      </c>
      <c r="AK104" s="90">
        <f t="shared" si="19"/>
        <v>99</v>
      </c>
      <c r="AL104" s="90">
        <f t="shared" si="20"/>
        <v>107</v>
      </c>
      <c r="AM104" s="108">
        <f t="shared" si="21"/>
        <v>110</v>
      </c>
      <c r="AN104" s="91">
        <f t="shared" si="22"/>
        <v>129</v>
      </c>
      <c r="AO104" s="108">
        <f t="shared" si="17"/>
        <v>130</v>
      </c>
      <c r="AP104" s="109">
        <f t="shared" si="18"/>
        <v>123</v>
      </c>
      <c r="AQ104" s="110">
        <f t="shared" si="23"/>
        <v>107</v>
      </c>
      <c r="AR104" s="110">
        <f t="shared" si="23"/>
        <v>107</v>
      </c>
      <c r="AS104" s="110">
        <f t="shared" si="27"/>
        <v>98</v>
      </c>
      <c r="AT104" s="110">
        <f t="shared" si="28"/>
        <v>98</v>
      </c>
      <c r="AU104" s="110">
        <f t="shared" si="24"/>
        <v>98</v>
      </c>
      <c r="AV104" s="109">
        <f t="shared" si="25"/>
        <v>135</v>
      </c>
      <c r="AW104" s="109">
        <f>ROUND(W104/VLOOKUP($C104,CapRate,13),0)</f>
        <v>172</v>
      </c>
      <c r="AX104" s="109">
        <f>ROUND(X104/VLOOKUP($C104,CapRate,14),0)</f>
        <v>206</v>
      </c>
      <c r="AY104" s="109">
        <f>ROUND(Y104/VLOOKUP($C104,CapRate,15),0)</f>
        <v>259</v>
      </c>
      <c r="AZ104" s="109">
        <f>ROUND(Z104/VLOOKUP($C104,CapRate,16),0)</f>
        <v>302</v>
      </c>
      <c r="BA104" s="109">
        <f>ROUND(AA104/VLOOKUP($C104,CapRate,17),0)</f>
        <v>344</v>
      </c>
      <c r="BB104" s="109">
        <f>ROUND(AB104/VLOOKUP($C104,CapRate,18),0)</f>
        <v>395</v>
      </c>
      <c r="BC104" s="109">
        <f>ROUND(AC104/VLOOKUP($C104,CapRate,19),0)</f>
        <v>425</v>
      </c>
      <c r="BD104" s="109">
        <f>ROUND(AD104/VLOOKUP($C104,CapRate,20),0)</f>
        <v>318</v>
      </c>
      <c r="BE104" s="199">
        <f>ROUND(AE104/VLOOKUP($C104,CapRate,21),0)</f>
        <v>293</v>
      </c>
      <c r="BF104" s="199">
        <f>ROUND(AF104/VLOOKUP($C104,CapRate,22),0)</f>
        <v>270</v>
      </c>
      <c r="BG104" s="199">
        <f>ROUND(AG104/VLOOKUP($C104,CapRate,23),0)</f>
        <v>250</v>
      </c>
      <c r="BH104" s="199">
        <f>ROUND(AH104/VLOOKUP($C104,CapRate,24),0)</f>
        <v>206</v>
      </c>
      <c r="BI104" s="199">
        <f>ROUND(AI104/VLOOKUP($C104,CapRate,25),0)</f>
        <v>124</v>
      </c>
      <c r="BJ104" s="199">
        <f>ROUND(AJ104/VLOOKUP($C104,CapRate,26),0)</f>
        <v>69</v>
      </c>
      <c r="BK104" s="113">
        <f t="shared" si="26"/>
        <v>-0.44354838709677424</v>
      </c>
      <c r="BL104" s="200">
        <f>((F102*BK102)+(F103*BK103)+(F104*BK104))</f>
        <v>-0.15732509602115605</v>
      </c>
      <c r="BM104" s="120"/>
      <c r="BN104" s="115"/>
      <c r="BO104" s="115">
        <f>BK104</f>
        <v>-0.44354838709677424</v>
      </c>
      <c r="BP104" s="204"/>
      <c r="BR104" s="9" t="s">
        <v>81</v>
      </c>
    </row>
    <row r="105" spans="1:70" ht="15.9" customHeight="1" thickTop="1">
      <c r="A105" s="8" t="s">
        <v>82</v>
      </c>
      <c r="B105" s="22" t="s">
        <v>83</v>
      </c>
      <c r="C105" s="8" t="s">
        <v>84</v>
      </c>
      <c r="D105" s="23" t="s">
        <v>84</v>
      </c>
      <c r="E105" s="8" t="s">
        <v>39</v>
      </c>
      <c r="F105" s="188">
        <f>[1]AcreSummary!M35</f>
        <v>0.37665762526707586</v>
      </c>
      <c r="G105" s="25"/>
      <c r="H105" s="117"/>
      <c r="I105" s="57">
        <f>[1]Native!E33</f>
        <v>8.84</v>
      </c>
      <c r="J105" s="58">
        <f>[1]Native!F33</f>
        <v>9.5568000000000008</v>
      </c>
      <c r="K105" s="59">
        <f>[1]Native!G33</f>
        <v>10.095599999999999</v>
      </c>
      <c r="L105" s="60">
        <f>[1]Native!H33</f>
        <v>10.451000000000001</v>
      </c>
      <c r="M105" s="61">
        <f>[1]Native!I33</f>
        <v>10.872400000000001</v>
      </c>
      <c r="N105" s="62">
        <f>[1]Native!J33</f>
        <v>11.28</v>
      </c>
      <c r="O105" s="62">
        <v>11.15</v>
      </c>
      <c r="P105" s="62">
        <f>[1]Native!K33</f>
        <v>11.28</v>
      </c>
      <c r="Q105" s="63">
        <f>[1]Native!L33</f>
        <v>11.15</v>
      </c>
      <c r="R105" s="64">
        <v>11.15</v>
      </c>
      <c r="S105" s="65">
        <f>[1]Native!M33</f>
        <v>11.12</v>
      </c>
      <c r="T105" s="66">
        <f>[1]Native!N33</f>
        <v>10.99</v>
      </c>
      <c r="U105" s="67">
        <f>[1]Native!O33</f>
        <v>10.220000000000001</v>
      </c>
      <c r="V105" s="68">
        <f>[1]Native!P33</f>
        <v>7.51</v>
      </c>
      <c r="W105" s="68">
        <f>[1]Native!Q33</f>
        <v>7.06</v>
      </c>
      <c r="X105" s="68">
        <v>7.4</v>
      </c>
      <c r="Y105" s="68">
        <v>7.76</v>
      </c>
      <c r="Z105" s="68">
        <v>9.09</v>
      </c>
      <c r="AA105" s="68">
        <v>10.41</v>
      </c>
      <c r="AB105" s="68">
        <v>11.68</v>
      </c>
      <c r="AC105" s="68">
        <v>13.06</v>
      </c>
      <c r="AD105" s="68">
        <v>14.38</v>
      </c>
      <c r="AE105" s="68">
        <v>15.73</v>
      </c>
      <c r="AF105" s="68">
        <v>16.32</v>
      </c>
      <c r="AG105" s="69">
        <v>17.07</v>
      </c>
      <c r="AH105" s="70">
        <v>17.46</v>
      </c>
      <c r="AI105" s="203">
        <v>17.88</v>
      </c>
      <c r="AJ105" s="70">
        <v>18.510000000000002</v>
      </c>
      <c r="AK105" s="8">
        <f t="shared" si="19"/>
        <v>62</v>
      </c>
      <c r="AL105" s="8">
        <f t="shared" si="20"/>
        <v>65</v>
      </c>
      <c r="AM105" s="71">
        <f t="shared" si="21"/>
        <v>67</v>
      </c>
      <c r="AN105" s="72">
        <f t="shared" si="22"/>
        <v>71</v>
      </c>
      <c r="AO105" s="71">
        <f t="shared" si="17"/>
        <v>75</v>
      </c>
      <c r="AP105" s="72">
        <f t="shared" si="18"/>
        <v>77</v>
      </c>
      <c r="AQ105" s="71">
        <f t="shared" si="23"/>
        <v>76</v>
      </c>
      <c r="AR105" s="71">
        <f t="shared" si="23"/>
        <v>76</v>
      </c>
      <c r="AS105" s="71">
        <f t="shared" si="27"/>
        <v>76</v>
      </c>
      <c r="AT105" s="71">
        <f t="shared" si="28"/>
        <v>75</v>
      </c>
      <c r="AU105" s="71">
        <f t="shared" si="24"/>
        <v>70</v>
      </c>
      <c r="AV105" s="122">
        <f>IF(ROUND(V105/VLOOKUP($C105,CapRate,12),0)&gt;10,V105/VLOOKUP($C105,CapRate,12),10)</f>
        <v>50.640593391773436</v>
      </c>
      <c r="AW105" s="122">
        <f>IF(ROUND(W105/VLOOKUP($C105,CapRate,13),0)&gt;10,W105/VLOOKUP($C105,CapRate,13),10)</f>
        <v>47.47814391392064</v>
      </c>
      <c r="AX105" s="122">
        <f>IF(ROUND(X105/VLOOKUP($C105,CapRate,14),0)&gt;10,X105/VLOOKUP($C105,CapRate,14),10)</f>
        <v>49.664429530201346</v>
      </c>
      <c r="AY105" s="122">
        <f>IF(ROUND(Y105/VLOOKUP($C105,CapRate,15),0)&gt;10,Y105/VLOOKUP($C105,CapRate,15),10)</f>
        <v>51.837007348029388</v>
      </c>
      <c r="AZ105" s="122">
        <f>IF(ROUND(Z105/VLOOKUP($C105,CapRate,16),0)&gt;10,Z105/VLOOKUP($C105,CapRate,16),10)</f>
        <v>60.479041916167667</v>
      </c>
      <c r="BA105" s="122">
        <f>IF(ROUND(AA105/VLOOKUP($C105,CapRate,17),0)&gt;10,AA105/VLOOKUP($C105,CapRate,17),10)</f>
        <v>68.758256274768826</v>
      </c>
      <c r="BB105" s="122">
        <f>IF(ROUND(AB105/VLOOKUP($C105,CapRate,18),0)&gt;10,AB105/VLOOKUP($C105,CapRate,18),10)</f>
        <v>76.791584483892166</v>
      </c>
      <c r="BC105" s="122">
        <f>IF(ROUND(AC105/VLOOKUP($C105,CapRate,19),0)&gt;10,AC105/VLOOKUP($C105,CapRate,19),10)</f>
        <v>85.471204188481678</v>
      </c>
      <c r="BD105" s="122">
        <f>IF(ROUND(AD105/VLOOKUP($C105,CapRate,20),0)&gt;10,AD105/VLOOKUP($C105,CapRate,20),10)</f>
        <v>93.864229765013064</v>
      </c>
      <c r="BE105" s="72">
        <f>IF(ROUND(AE105/VLOOKUP($C105,CapRate,21),0)&gt;10,AE105/VLOOKUP($C105,CapRate,21),10)</f>
        <v>102.40885416666667</v>
      </c>
      <c r="BF105" s="72">
        <f>IF(ROUND(AF105/VLOOKUP($C105,CapRate,22),0)&gt;10,AF105/VLOOKUP($C105,CapRate,22),10)</f>
        <v>106.18087182823682</v>
      </c>
      <c r="BG105" s="72">
        <f>IF(ROUND(AG105/VLOOKUP($C105,CapRate,23),0)&gt;10,AG105/VLOOKUP($C105,CapRate,23),10)</f>
        <v>111.06050748210801</v>
      </c>
      <c r="BH105" s="72">
        <f>IF(ROUND(AH105/VLOOKUP($C105,CapRate,24),0)&gt;10,AH105/VLOOKUP($C105,CapRate,24),10)</f>
        <v>114.11764705882354</v>
      </c>
      <c r="BI105" s="72">
        <f>IF(ROUND(AI105/VLOOKUP($C105,CapRate,25),0)&gt;10,AI105/VLOOKUP($C105,CapRate,25),10)</f>
        <v>117.39986868023638</v>
      </c>
      <c r="BJ105" s="72">
        <f>IF(ROUND(AJ105/VLOOKUP($C105,CapRate,26),0)&gt;10,AJ105/VLOOKUP($C105,CapRate,26),10)</f>
        <v>122.0976253298153</v>
      </c>
      <c r="BK105" s="75">
        <f t="shared" si="26"/>
        <v>4.0015007703068761E-2</v>
      </c>
      <c r="BL105" s="76"/>
      <c r="BM105" s="77">
        <f>BK105</f>
        <v>4.0015007703068761E-2</v>
      </c>
      <c r="BN105" s="77"/>
      <c r="BO105" s="77"/>
      <c r="BP105" s="77"/>
      <c r="BQ105" s="77">
        <f>AVERAGE(BL108:BL148)</f>
        <v>-6.1756619003219784E-2</v>
      </c>
    </row>
    <row r="106" spans="1:70" ht="15.9" customHeight="1">
      <c r="A106" s="8"/>
      <c r="B106" s="22"/>
      <c r="C106" s="8" t="s">
        <v>84</v>
      </c>
      <c r="D106" s="23"/>
      <c r="E106" s="8" t="s">
        <v>85</v>
      </c>
      <c r="F106" s="188">
        <f>[1]AcreSummary!L35</f>
        <v>2.5940556298720257E-2</v>
      </c>
      <c r="G106" s="25"/>
      <c r="H106" s="117"/>
      <c r="I106" s="57"/>
      <c r="J106" s="58">
        <f>[1]Tame!D2</f>
        <v>11.79</v>
      </c>
      <c r="K106" s="80">
        <f>[1]Tame!E2</f>
        <v>12.065</v>
      </c>
      <c r="L106" s="68">
        <f>[1]Tame!F2</f>
        <v>12.33</v>
      </c>
      <c r="M106" s="58">
        <f>[1]Tame!G2</f>
        <v>12.706</v>
      </c>
      <c r="N106" s="81">
        <f>[1]Tame!H2</f>
        <v>13.05</v>
      </c>
      <c r="O106" s="62">
        <v>13.02</v>
      </c>
      <c r="P106" s="81">
        <f>[1]Tame!I2</f>
        <v>12.86</v>
      </c>
      <c r="Q106" s="82">
        <f>[1]Tame!J2</f>
        <v>12.6</v>
      </c>
      <c r="R106" s="83">
        <v>12.6</v>
      </c>
      <c r="S106" s="84">
        <f>[1]Tame!K2</f>
        <v>12.21</v>
      </c>
      <c r="T106" s="66">
        <f>[1]Tame!L2</f>
        <v>11.61</v>
      </c>
      <c r="U106" s="67">
        <f>[1]Tame!M2</f>
        <v>11.49</v>
      </c>
      <c r="V106" s="68">
        <f>[1]Tame!N2</f>
        <v>10.11</v>
      </c>
      <c r="W106" s="68">
        <f>[1]Tame!O2</f>
        <v>10.78</v>
      </c>
      <c r="X106" s="68">
        <v>12.5</v>
      </c>
      <c r="Y106" s="68">
        <v>14.3</v>
      </c>
      <c r="Z106" s="68">
        <v>14.41</v>
      </c>
      <c r="AA106" s="68">
        <v>14.95</v>
      </c>
      <c r="AB106" s="68">
        <v>15.24</v>
      </c>
      <c r="AC106" s="68">
        <v>15.47</v>
      </c>
      <c r="AD106" s="68">
        <v>17.77</v>
      </c>
      <c r="AE106" s="68">
        <v>19.13</v>
      </c>
      <c r="AF106" s="68">
        <v>19.43</v>
      </c>
      <c r="AG106" s="69">
        <v>19.89</v>
      </c>
      <c r="AH106" s="70">
        <v>22.14</v>
      </c>
      <c r="AI106" s="70">
        <v>23.67</v>
      </c>
      <c r="AJ106" s="70">
        <v>25.45</v>
      </c>
      <c r="AK106" s="8">
        <f t="shared" si="19"/>
        <v>77</v>
      </c>
      <c r="AL106" s="8">
        <f>ROUND(K106/VLOOKUP($C106,CapRate,2),0)</f>
        <v>78</v>
      </c>
      <c r="AM106" s="85">
        <f>ROUND(L106/VLOOKUP($C106,CapRate,2),0)</f>
        <v>80</v>
      </c>
      <c r="AN106" s="23">
        <f>ROUND(M106/VLOOKUP($C106,CapRate,2),0)</f>
        <v>83</v>
      </c>
      <c r="AO106" s="85">
        <f t="shared" si="17"/>
        <v>88</v>
      </c>
      <c r="AP106" s="72">
        <f t="shared" si="18"/>
        <v>88</v>
      </c>
      <c r="AQ106" s="71">
        <f t="shared" si="23"/>
        <v>86</v>
      </c>
      <c r="AR106" s="71">
        <f t="shared" si="23"/>
        <v>86</v>
      </c>
      <c r="AS106" s="71">
        <f t="shared" si="27"/>
        <v>83</v>
      </c>
      <c r="AT106" s="71">
        <f t="shared" si="28"/>
        <v>79</v>
      </c>
      <c r="AU106" s="71">
        <f t="shared" si="24"/>
        <v>78</v>
      </c>
      <c r="AV106" s="72">
        <f t="shared" si="25"/>
        <v>68</v>
      </c>
      <c r="AW106" s="72">
        <f>IF(ROUND(W106/VLOOKUP($C106,CapRate,13),0)&gt;AW105,W106/VLOOKUP($C106,CapRate,13),AW105)</f>
        <v>72.494956287827833</v>
      </c>
      <c r="AX106" s="72">
        <f>IF(ROUND(X106/VLOOKUP($C106,CapRate,14),0)&gt;AX105,X106/VLOOKUP($C106,CapRate,14),AX105)</f>
        <v>83.892617449664428</v>
      </c>
      <c r="AY106" s="72">
        <f>IF(ROUND(Y106/VLOOKUP($C106,CapRate,15),0)&gt;AY105,Y106/VLOOKUP($C106,CapRate,15),AY105)</f>
        <v>95.524382097528388</v>
      </c>
      <c r="AZ106" s="72">
        <f>IF(ROUND(Z106/VLOOKUP($C106,CapRate,16),0)&gt;AZ105,Z106/VLOOKUP($C106,CapRate,16),AZ105)</f>
        <v>95.874916833000668</v>
      </c>
      <c r="BA106" s="72">
        <f>IF(ROUND(AA106/VLOOKUP($C106,CapRate,17),0)&gt;BA105,AA106/VLOOKUP($C106,CapRate,17),BA105)</f>
        <v>98.745046235138702</v>
      </c>
      <c r="BB106" s="72">
        <f>IF(ROUND(AB106/VLOOKUP($C106,CapRate,18),0)&gt;BB105,AB106/VLOOKUP($C106,CapRate,18),BB105)</f>
        <v>100.19723865877711</v>
      </c>
      <c r="BC106" s="72">
        <f>IF(ROUND(AC106/VLOOKUP($C106,CapRate,19),0)&gt;BC105,AC106/VLOOKUP($C106,CapRate,19),BC105)</f>
        <v>101.24345549738221</v>
      </c>
      <c r="BD106" s="72">
        <f>IF(ROUND(AD106/VLOOKUP($C106,CapRate,20),0)&gt;BD105,AD106/VLOOKUP($C106,CapRate,20),BD105)</f>
        <v>115.99216710182768</v>
      </c>
      <c r="BE106" s="72">
        <f>IF(ROUND(AE106/VLOOKUP($C106,CapRate,21),0)&gt;BE105,AE106/VLOOKUP($C106,CapRate,21),BE105)</f>
        <v>124.54427083333334</v>
      </c>
      <c r="BF106" s="72">
        <f>IF(ROUND(AF106/VLOOKUP($C106,CapRate,22),0)&gt;BF105,AF106/VLOOKUP($C106,CapRate,22),BF105)</f>
        <v>126.41509433962264</v>
      </c>
      <c r="BG106" s="72">
        <f>IF(ROUND(AG106/VLOOKUP($C106,CapRate,23),0)&gt;BG105,AG106/VLOOKUP($C106,CapRate,23),BG105)</f>
        <v>129.40793754066362</v>
      </c>
      <c r="BH106" s="72">
        <f>IF(ROUND(AH106/VLOOKUP($C106,CapRate,24),0)&gt;BH105,AH106/VLOOKUP($C106,CapRate,24),BH105)</f>
        <v>144.70588235294119</v>
      </c>
      <c r="BI106" s="72">
        <f>IF(ROUND(AI106/VLOOKUP($C106,CapRate,25),0)&gt;BI105,AI106/VLOOKUP($C106,CapRate,25),BI105)</f>
        <v>155.41694024950758</v>
      </c>
      <c r="BJ106" s="72">
        <f>IF(ROUND(AJ106/VLOOKUP($C106,CapRate,26),0)&gt;BJ105,AJ106/VLOOKUP($C106,CapRate,26),BJ105)</f>
        <v>167.87598944591028</v>
      </c>
      <c r="BK106" s="87">
        <f t="shared" si="26"/>
        <v>8.0165322881796897E-2</v>
      </c>
      <c r="BL106" s="76"/>
      <c r="BM106" s="77"/>
      <c r="BN106" s="77"/>
      <c r="BO106" s="77"/>
      <c r="BP106" s="77">
        <f>BK106</f>
        <v>8.0165322881796897E-2</v>
      </c>
    </row>
    <row r="107" spans="1:70" ht="15.9" customHeight="1">
      <c r="A107" s="54">
        <v>40</v>
      </c>
      <c r="B107" s="22"/>
      <c r="C107" s="8" t="s">
        <v>84</v>
      </c>
      <c r="D107" s="23"/>
      <c r="E107" s="8" t="s">
        <v>40</v>
      </c>
      <c r="F107" s="188">
        <f>[1]AcreSummary!J35</f>
        <v>0.53292400794610084</v>
      </c>
      <c r="G107" s="25"/>
      <c r="H107" s="117"/>
      <c r="I107" s="57">
        <f>[1]Dry!E35</f>
        <v>21.64</v>
      </c>
      <c r="J107" s="58">
        <f>[1]Dry!F35</f>
        <v>21.83</v>
      </c>
      <c r="K107" s="80">
        <f>[1]Dry!G35</f>
        <v>22.34</v>
      </c>
      <c r="L107" s="68">
        <f>[1]Dry!H35</f>
        <v>23.62</v>
      </c>
      <c r="M107" s="58">
        <f>[1]Dry!I35</f>
        <v>24.94</v>
      </c>
      <c r="N107" s="81">
        <f>[1]Dry!J35</f>
        <v>26.52</v>
      </c>
      <c r="O107" s="62">
        <v>26.55</v>
      </c>
      <c r="P107" s="81">
        <f>[1]Dry!K35</f>
        <v>28.02</v>
      </c>
      <c r="Q107" s="82">
        <f>[1]Dry!L35</f>
        <v>29.64</v>
      </c>
      <c r="R107" s="83">
        <f>Q107*0.95</f>
        <v>28.157999999999998</v>
      </c>
      <c r="S107" s="84">
        <f>[1]Dry!N35</f>
        <v>30.42</v>
      </c>
      <c r="T107" s="66">
        <f>[1]Dry!O35</f>
        <v>31.09</v>
      </c>
      <c r="U107" s="67">
        <f>[1]Dry!P35</f>
        <v>30.71</v>
      </c>
      <c r="V107" s="68">
        <f>[1]Dry!Q35</f>
        <v>27.89</v>
      </c>
      <c r="W107" s="68">
        <f>[1]Dry!R35</f>
        <v>30.6</v>
      </c>
      <c r="X107" s="68">
        <f>[1]Dry!S35</f>
        <v>34.799999999999997</v>
      </c>
      <c r="Y107" s="68">
        <f>[1]Dry!T35</f>
        <v>40.299999999999997</v>
      </c>
      <c r="Z107" s="68">
        <v>47.02</v>
      </c>
      <c r="AA107" s="68">
        <v>54.61</v>
      </c>
      <c r="AB107" s="68">
        <v>64.13</v>
      </c>
      <c r="AC107" s="68">
        <v>72.42</v>
      </c>
      <c r="AD107" s="68">
        <v>78.260000000000005</v>
      </c>
      <c r="AE107" s="68">
        <v>82.38</v>
      </c>
      <c r="AF107" s="68">
        <v>82.27</v>
      </c>
      <c r="AG107" s="69">
        <v>81.44</v>
      </c>
      <c r="AH107" s="70">
        <v>76.61</v>
      </c>
      <c r="AI107" s="70">
        <v>67.97</v>
      </c>
      <c r="AJ107" s="70">
        <v>60.41</v>
      </c>
      <c r="AK107" s="8">
        <f t="shared" si="19"/>
        <v>142</v>
      </c>
      <c r="AL107" s="8">
        <f t="shared" si="20"/>
        <v>145</v>
      </c>
      <c r="AM107" s="85">
        <f t="shared" si="21"/>
        <v>151</v>
      </c>
      <c r="AN107" s="23">
        <f t="shared" si="22"/>
        <v>163</v>
      </c>
      <c r="AO107" s="85">
        <f t="shared" si="17"/>
        <v>180</v>
      </c>
      <c r="AP107" s="72">
        <f t="shared" si="18"/>
        <v>192</v>
      </c>
      <c r="AQ107" s="71">
        <f t="shared" si="23"/>
        <v>202</v>
      </c>
      <c r="AR107" s="71">
        <f t="shared" si="23"/>
        <v>192</v>
      </c>
      <c r="AS107" s="71">
        <f t="shared" si="27"/>
        <v>207</v>
      </c>
      <c r="AT107" s="71">
        <f t="shared" si="28"/>
        <v>212</v>
      </c>
      <c r="AU107" s="71">
        <f t="shared" si="24"/>
        <v>209</v>
      </c>
      <c r="AV107" s="72">
        <f t="shared" si="25"/>
        <v>188</v>
      </c>
      <c r="AW107" s="72">
        <f>ROUND(W107/VLOOKUP($C107,CapRate,13),0)</f>
        <v>206</v>
      </c>
      <c r="AX107" s="72">
        <f>ROUND(X107/VLOOKUP($C107,CapRate,14),0)</f>
        <v>234</v>
      </c>
      <c r="AY107" s="72">
        <f>ROUND(Y107/VLOOKUP($C107,CapRate,15),0)</f>
        <v>269</v>
      </c>
      <c r="AZ107" s="72">
        <f>ROUND(Z107/VLOOKUP($C107,CapRate,16),0)</f>
        <v>313</v>
      </c>
      <c r="BA107" s="72">
        <f>ROUND(AA107/VLOOKUP($C107,CapRate,17),0)</f>
        <v>361</v>
      </c>
      <c r="BB107" s="72">
        <f>ROUND(AB107/VLOOKUP($C107,CapRate,18),0)</f>
        <v>422</v>
      </c>
      <c r="BC107" s="72">
        <f>ROUND(AC107/VLOOKUP($C107,CapRate,19),0)</f>
        <v>474</v>
      </c>
      <c r="BD107" s="72">
        <f>ROUND(AD107/VLOOKUP($C107,CapRate,20),0)</f>
        <v>511</v>
      </c>
      <c r="BE107" s="72">
        <f>ROUND(AE107/VLOOKUP($C107,CapRate,21),0)</f>
        <v>536</v>
      </c>
      <c r="BF107" s="72">
        <f>ROUND(AF107/VLOOKUP($C107,CapRate,22),0)</f>
        <v>535</v>
      </c>
      <c r="BG107" s="72">
        <f>ROUND(AG107/VLOOKUP($C107,CapRate,23),0)</f>
        <v>530</v>
      </c>
      <c r="BH107" s="72">
        <f>ROUND(AH107/VLOOKUP($C107,CapRate,24),0)</f>
        <v>501</v>
      </c>
      <c r="BI107" s="72">
        <f>ROUND(AI107/VLOOKUP($C107,CapRate,25),0)</f>
        <v>446</v>
      </c>
      <c r="BJ107" s="72">
        <f>ROUND(AJ107/VLOOKUP($C107,CapRate,26),0)</f>
        <v>398</v>
      </c>
      <c r="BK107" s="87">
        <f t="shared" si="26"/>
        <v>-0.1076233183856502</v>
      </c>
      <c r="BL107" s="76"/>
      <c r="BM107" s="77"/>
      <c r="BN107" s="77">
        <f>BK107</f>
        <v>-0.1076233183856502</v>
      </c>
      <c r="BO107" s="77"/>
      <c r="BP107" s="77"/>
    </row>
    <row r="108" spans="1:70" ht="15.9" customHeight="1" thickBot="1">
      <c r="A108" s="54">
        <v>40</v>
      </c>
      <c r="B108" s="22"/>
      <c r="C108" s="90" t="s">
        <v>84</v>
      </c>
      <c r="D108" s="91"/>
      <c r="E108" s="90" t="s">
        <v>41</v>
      </c>
      <c r="F108" s="190">
        <f>[1]AcreSummary!K35</f>
        <v>6.4477810488103152E-2</v>
      </c>
      <c r="G108" s="191">
        <f>[1]Irrigated!D42</f>
        <v>100</v>
      </c>
      <c r="H108" s="94">
        <f>[1]Irrigated!E42</f>
        <v>1</v>
      </c>
      <c r="I108" s="95"/>
      <c r="J108" s="96">
        <f>[1]Irrigated!H42</f>
        <v>63.46</v>
      </c>
      <c r="K108" s="97">
        <f>[1]Irrigated!I42</f>
        <v>63.72</v>
      </c>
      <c r="L108" s="98">
        <f>[1]Irrigated!J42</f>
        <v>63.03</v>
      </c>
      <c r="M108" s="96">
        <f>[1]Irrigated!K42</f>
        <v>62.5</v>
      </c>
      <c r="N108" s="99">
        <f>[1]Irrigated!L42</f>
        <v>63.91</v>
      </c>
      <c r="O108" s="100">
        <v>63.71</v>
      </c>
      <c r="P108" s="99">
        <f>[1]Irrigated!M42</f>
        <v>63.14</v>
      </c>
      <c r="Q108" s="101">
        <f>[1]Irrigated!N42</f>
        <v>58.91</v>
      </c>
      <c r="R108" s="102">
        <v>58.91</v>
      </c>
      <c r="S108" s="103">
        <f>[1]Irrigated!O42</f>
        <v>55.15</v>
      </c>
      <c r="T108" s="104">
        <f>[1]Irrigated!P42</f>
        <v>53.44</v>
      </c>
      <c r="U108" s="105">
        <f>[1]Irrigated!Q42</f>
        <v>50.07</v>
      </c>
      <c r="V108" s="98">
        <f>[1]Irrigated!R42</f>
        <v>46.03</v>
      </c>
      <c r="W108" s="98">
        <f>[1]Irrigated!S42</f>
        <v>53.08</v>
      </c>
      <c r="X108" s="98">
        <v>61.83</v>
      </c>
      <c r="Y108" s="98">
        <v>74.41</v>
      </c>
      <c r="Z108" s="98">
        <v>87.95</v>
      </c>
      <c r="AA108" s="98">
        <v>99.35</v>
      </c>
      <c r="AB108" s="98">
        <v>114.42</v>
      </c>
      <c r="AC108" s="98">
        <v>124.89</v>
      </c>
      <c r="AD108" s="98">
        <v>129.82</v>
      </c>
      <c r="AE108" s="98">
        <v>132.63999999999999</v>
      </c>
      <c r="AF108" s="98">
        <v>131.16999999999999</v>
      </c>
      <c r="AG108" s="106">
        <v>125.19</v>
      </c>
      <c r="AH108" s="107">
        <v>107.4</v>
      </c>
      <c r="AI108" s="107">
        <v>81.8</v>
      </c>
      <c r="AJ108" s="107">
        <v>59.65</v>
      </c>
      <c r="AK108" s="90">
        <f t="shared" si="19"/>
        <v>413</v>
      </c>
      <c r="AL108" s="90">
        <f t="shared" si="20"/>
        <v>413</v>
      </c>
      <c r="AM108" s="108">
        <f t="shared" si="21"/>
        <v>404</v>
      </c>
      <c r="AN108" s="91">
        <f t="shared" si="22"/>
        <v>407</v>
      </c>
      <c r="AO108" s="108">
        <f t="shared" si="17"/>
        <v>431</v>
      </c>
      <c r="AP108" s="109">
        <f t="shared" si="18"/>
        <v>432</v>
      </c>
      <c r="AQ108" s="110">
        <f t="shared" si="23"/>
        <v>401</v>
      </c>
      <c r="AR108" s="110">
        <f t="shared" si="23"/>
        <v>401</v>
      </c>
      <c r="AS108" s="110">
        <f t="shared" si="27"/>
        <v>375</v>
      </c>
      <c r="AT108" s="110">
        <f t="shared" si="28"/>
        <v>364</v>
      </c>
      <c r="AU108" s="110">
        <f t="shared" si="24"/>
        <v>341</v>
      </c>
      <c r="AV108" s="109">
        <f t="shared" si="25"/>
        <v>310</v>
      </c>
      <c r="AW108" s="109">
        <f>ROUND(W108/VLOOKUP($C108,CapRate,13),0)</f>
        <v>357</v>
      </c>
      <c r="AX108" s="109">
        <f>ROUND(X108/VLOOKUP($C108,CapRate,14),0)</f>
        <v>415</v>
      </c>
      <c r="AY108" s="109">
        <f>ROUND(Y108/VLOOKUP($C108,CapRate,15),0)</f>
        <v>497</v>
      </c>
      <c r="AZ108" s="109">
        <f>ROUND(Z108/VLOOKUP($C108,CapRate,16),0)</f>
        <v>585</v>
      </c>
      <c r="BA108" s="109">
        <f>ROUND(AA108/VLOOKUP($C108,CapRate,17),0)</f>
        <v>656</v>
      </c>
      <c r="BB108" s="109">
        <f>ROUND(AB108/VLOOKUP($C108,CapRate,18),0)</f>
        <v>752</v>
      </c>
      <c r="BC108" s="109">
        <f>ROUND(AC108/VLOOKUP($C108,CapRate,19),0)</f>
        <v>817</v>
      </c>
      <c r="BD108" s="109">
        <f>ROUND(AD108/VLOOKUP($C108,CapRate,20),0)</f>
        <v>847</v>
      </c>
      <c r="BE108" s="109">
        <f>ROUND(AE108/VLOOKUP($C108,CapRate,21),0)</f>
        <v>864</v>
      </c>
      <c r="BF108" s="109">
        <f>ROUND(AF108/VLOOKUP($C108,CapRate,22),0)</f>
        <v>853</v>
      </c>
      <c r="BG108" s="109">
        <f>ROUND(AG108/VLOOKUP($C108,CapRate,23),0)</f>
        <v>815</v>
      </c>
      <c r="BH108" s="109">
        <f>ROUND(AH108/VLOOKUP($C108,CapRate,24),0)</f>
        <v>702</v>
      </c>
      <c r="BI108" s="109">
        <f>ROUND(AI108/VLOOKUP($C108,CapRate,25),0)</f>
        <v>537</v>
      </c>
      <c r="BJ108" s="109">
        <f>ROUND(AJ108/VLOOKUP($C108,CapRate,26),0)</f>
        <v>393</v>
      </c>
      <c r="BK108" s="193">
        <f t="shared" si="26"/>
        <v>-0.26815642458100564</v>
      </c>
      <c r="BL108" s="114">
        <f>((F105*BK105)+(F106*BK106)+(F107*BK107)+(F108*BK108))</f>
        <v>-5.749369845993943E-2</v>
      </c>
      <c r="BM108" s="120"/>
      <c r="BN108" s="115"/>
      <c r="BO108" s="115">
        <f>BK108</f>
        <v>-0.26815642458100564</v>
      </c>
      <c r="BP108" s="115"/>
    </row>
    <row r="109" spans="1:70" ht="15.9" customHeight="1" thickTop="1">
      <c r="A109" s="54">
        <v>40</v>
      </c>
      <c r="B109" s="22"/>
      <c r="C109" s="8" t="s">
        <v>86</v>
      </c>
      <c r="D109" s="23" t="s">
        <v>86</v>
      </c>
      <c r="E109" s="8" t="s">
        <v>39</v>
      </c>
      <c r="F109" s="188">
        <f>[1]AcreSummary!M36</f>
        <v>0.38169818497496183</v>
      </c>
      <c r="G109" s="25"/>
      <c r="H109" s="117"/>
      <c r="I109" s="57">
        <f>[1]Native!E34</f>
        <v>8.99</v>
      </c>
      <c r="J109" s="58">
        <f>[1]Native!F34</f>
        <v>9.5632999999999999</v>
      </c>
      <c r="K109" s="80">
        <f>[1]Native!G34</f>
        <v>9.9770000000000003</v>
      </c>
      <c r="L109" s="68">
        <f>[1]Native!H34</f>
        <v>10.208</v>
      </c>
      <c r="M109" s="58">
        <f>[1]Native!I34</f>
        <v>10.500999999999999</v>
      </c>
      <c r="N109" s="81">
        <f>[1]Native!J34</f>
        <v>10.77</v>
      </c>
      <c r="O109" s="62">
        <v>10.78</v>
      </c>
      <c r="P109" s="81">
        <f>[1]Native!K34</f>
        <v>10.65</v>
      </c>
      <c r="Q109" s="82">
        <f>[1]Native!L34</f>
        <v>10.38</v>
      </c>
      <c r="R109" s="83">
        <v>10.38</v>
      </c>
      <c r="S109" s="84">
        <f>[1]Native!M34</f>
        <v>10.23</v>
      </c>
      <c r="T109" s="66">
        <f>[1]Native!N34</f>
        <v>8.66</v>
      </c>
      <c r="U109" s="67">
        <f>[1]Native!O34</f>
        <v>8.49</v>
      </c>
      <c r="V109" s="68">
        <f>[1]Native!P34</f>
        <v>5.84</v>
      </c>
      <c r="W109" s="68">
        <f>[1]Native!Q34</f>
        <v>5.53</v>
      </c>
      <c r="X109" s="68">
        <v>5.9</v>
      </c>
      <c r="Y109" s="68">
        <v>6.3</v>
      </c>
      <c r="Z109" s="68">
        <v>7.54</v>
      </c>
      <c r="AA109" s="68">
        <v>9.81</v>
      </c>
      <c r="AB109" s="68">
        <v>11.1</v>
      </c>
      <c r="AC109" s="68">
        <v>12.43</v>
      </c>
      <c r="AD109" s="68">
        <v>13.7</v>
      </c>
      <c r="AE109" s="68">
        <v>15.03</v>
      </c>
      <c r="AF109" s="68">
        <v>15.6</v>
      </c>
      <c r="AG109" s="69">
        <v>16.329999999999998</v>
      </c>
      <c r="AH109" s="70">
        <v>16.7</v>
      </c>
      <c r="AI109" s="70">
        <v>17.100000000000001</v>
      </c>
      <c r="AJ109" s="70">
        <v>17.7</v>
      </c>
      <c r="AK109" s="8">
        <f t="shared" si="19"/>
        <v>60</v>
      </c>
      <c r="AL109" s="8">
        <f t="shared" si="20"/>
        <v>62</v>
      </c>
      <c r="AM109" s="85">
        <f t="shared" si="21"/>
        <v>63</v>
      </c>
      <c r="AN109" s="23">
        <f t="shared" si="22"/>
        <v>66</v>
      </c>
      <c r="AO109" s="85">
        <f t="shared" si="17"/>
        <v>71</v>
      </c>
      <c r="AP109" s="72">
        <f t="shared" si="18"/>
        <v>71</v>
      </c>
      <c r="AQ109" s="71">
        <f t="shared" si="23"/>
        <v>69</v>
      </c>
      <c r="AR109" s="71">
        <f t="shared" si="23"/>
        <v>69</v>
      </c>
      <c r="AS109" s="71">
        <f t="shared" si="27"/>
        <v>68</v>
      </c>
      <c r="AT109" s="71">
        <f t="shared" si="28"/>
        <v>58</v>
      </c>
      <c r="AU109" s="71">
        <f t="shared" si="24"/>
        <v>57</v>
      </c>
      <c r="AV109" s="72">
        <f t="shared" si="25"/>
        <v>39</v>
      </c>
      <c r="AW109" s="122">
        <f>IF(ROUND(W109/VLOOKUP($C109,CapRate,13),0)&gt;10,W109/VLOOKUP($C109,CapRate,13),10)</f>
        <v>36.501650165016507</v>
      </c>
      <c r="AX109" s="122">
        <f>IF(ROUND(X109/VLOOKUP($C109,CapRate,14),0)&gt;10,X109/VLOOKUP($C109,CapRate,14),10)</f>
        <v>38.866930171278</v>
      </c>
      <c r="AY109" s="122">
        <f>IF(ROUND(Y109/VLOOKUP($C109,CapRate,15),0)&gt;10,Y109/VLOOKUP($C109,CapRate,15),10)</f>
        <v>41.230366492146601</v>
      </c>
      <c r="AZ109" s="122">
        <f>IF(ROUND(Z109/VLOOKUP($C109,CapRate,16),0)&gt;10,Z109/VLOOKUP($C109,CapRate,16),10)</f>
        <v>49.18460534898891</v>
      </c>
      <c r="BA109" s="122">
        <f>IF(ROUND(AA109/VLOOKUP($C109,CapRate,17),0)&gt;10,AA109/VLOOKUP($C109,CapRate,17),10)</f>
        <v>63.618677042801558</v>
      </c>
      <c r="BB109" s="122">
        <f>IF(ROUND(AB109/VLOOKUP($C109,CapRate,18),0)&gt;10,AB109/VLOOKUP($C109,CapRate,18),10)</f>
        <v>71.612903225806448</v>
      </c>
      <c r="BC109" s="122">
        <f>IF(ROUND(AC109/VLOOKUP($C109,CapRate,19),0)&gt;10,AC109/VLOOKUP($C109,CapRate,19),10)</f>
        <v>79.73059653624118</v>
      </c>
      <c r="BD109" s="122">
        <f>IF(ROUND(AD109/VLOOKUP($C109,CapRate,20),0)&gt;10,AD109/VLOOKUP($C109,CapRate,20),10)</f>
        <v>87.42820676451818</v>
      </c>
      <c r="BE109" s="122">
        <f>IF(ROUND(AE109/VLOOKUP($C109,CapRate,21),0)&gt;10,AE109/VLOOKUP($C109,CapRate,21),10)</f>
        <v>95.489199491740777</v>
      </c>
      <c r="BF109" s="122">
        <f>IF(ROUND(AF109/VLOOKUP($C109,CapRate,22),0)&gt;10,AF109/VLOOKUP($C109,CapRate,22),10)</f>
        <v>98.796706776440772</v>
      </c>
      <c r="BG109" s="122">
        <f>IF(ROUND(AG109/VLOOKUP($C109,CapRate,23),0)&gt;10,AG109/VLOOKUP($C109,CapRate,23),10)</f>
        <v>103.41988600379986</v>
      </c>
      <c r="BH109" s="122">
        <f>IF(ROUND(AH109/VLOOKUP($C109,CapRate,24),0)&gt;10,AH109/VLOOKUP($C109,CapRate,24),10)</f>
        <v>105.83016476552598</v>
      </c>
      <c r="BI109" s="122">
        <f>IF(ROUND(AI109/VLOOKUP($C109,CapRate,25),0)&gt;10,AI109/VLOOKUP($C109,CapRate,25),10)</f>
        <v>108.64040660736975</v>
      </c>
      <c r="BJ109" s="122">
        <f>IF(ROUND(AJ109/VLOOKUP($C109,CapRate,26),0)&gt;10,AJ109/VLOOKUP($C109,CapRate,26),10)</f>
        <v>113.09904153354633</v>
      </c>
      <c r="BK109" s="75">
        <f t="shared" si="26"/>
        <v>4.1040300431590238E-2</v>
      </c>
      <c r="BL109" s="76"/>
      <c r="BM109" s="77">
        <f>BK109</f>
        <v>4.1040300431590238E-2</v>
      </c>
      <c r="BN109" s="77"/>
      <c r="BO109" s="77"/>
      <c r="BP109" s="77"/>
    </row>
    <row r="110" spans="1:70" ht="15.9" customHeight="1">
      <c r="A110" s="54"/>
      <c r="B110" s="22"/>
      <c r="C110" s="8" t="s">
        <v>86</v>
      </c>
      <c r="D110" s="23"/>
      <c r="E110" s="8" t="s">
        <v>85</v>
      </c>
      <c r="F110" s="188">
        <f>[1]AcreSummary!L36</f>
        <v>2.7635914324353111E-2</v>
      </c>
      <c r="G110" s="25"/>
      <c r="H110" s="117"/>
      <c r="I110" s="57"/>
      <c r="J110" s="58">
        <f>[1]Tame!D3</f>
        <v>12.7788</v>
      </c>
      <c r="K110" s="80">
        <f>[1]Tame!E3</f>
        <v>12.509</v>
      </c>
      <c r="L110" s="68">
        <f>[1]Tame!F3</f>
        <v>12.208</v>
      </c>
      <c r="M110" s="58">
        <f>[1]Tame!G3</f>
        <v>11.986000000000001</v>
      </c>
      <c r="N110" s="81">
        <f>[1]Tame!H3</f>
        <v>11.69</v>
      </c>
      <c r="O110" s="62">
        <v>11.75</v>
      </c>
      <c r="P110" s="81">
        <f>[1]Tame!I3</f>
        <v>10.83</v>
      </c>
      <c r="Q110" s="82">
        <f>[1]Tame!J3</f>
        <v>10.35</v>
      </c>
      <c r="R110" s="83">
        <v>10.35</v>
      </c>
      <c r="S110" s="84">
        <f>[1]Tame!K3</f>
        <v>8.84</v>
      </c>
      <c r="T110" s="66">
        <f>[1]Tame!L3</f>
        <v>7.74</v>
      </c>
      <c r="U110" s="67">
        <f>[1]Tame!M3</f>
        <v>7.55</v>
      </c>
      <c r="V110" s="68">
        <f>[1]Tame!N3</f>
        <v>6.29</v>
      </c>
      <c r="W110" s="68">
        <f>[1]Tame!O3</f>
        <v>6.65</v>
      </c>
      <c r="X110" s="68">
        <v>8.07</v>
      </c>
      <c r="Y110" s="68">
        <v>9.56</v>
      </c>
      <c r="Z110" s="68">
        <v>9.65</v>
      </c>
      <c r="AA110" s="68">
        <v>10.29</v>
      </c>
      <c r="AB110" s="68">
        <v>10.62</v>
      </c>
      <c r="AC110" s="68">
        <v>10.79</v>
      </c>
      <c r="AD110" s="68">
        <v>12.99</v>
      </c>
      <c r="AE110" s="68">
        <v>14.46</v>
      </c>
      <c r="AF110" s="68">
        <v>14.86</v>
      </c>
      <c r="AG110" s="69">
        <v>15.4</v>
      </c>
      <c r="AH110" s="70">
        <v>17.420000000000002</v>
      </c>
      <c r="AI110" s="70">
        <v>18.690000000000001</v>
      </c>
      <c r="AJ110" s="70">
        <v>20.2</v>
      </c>
      <c r="AK110" s="8">
        <f t="shared" si="19"/>
        <v>80</v>
      </c>
      <c r="AL110" s="24">
        <f>ROUND(K110/VLOOKUP($C110,CapRate,2),0)</f>
        <v>78</v>
      </c>
      <c r="AM110" s="8">
        <f>ROUND(L110/VLOOKUP($C110,CapRate,2),0)</f>
        <v>76</v>
      </c>
      <c r="AN110" s="23">
        <f>ROUND(M110/VLOOKUP($C110,CapRate,2),0)</f>
        <v>75</v>
      </c>
      <c r="AO110" s="85">
        <f t="shared" si="17"/>
        <v>77</v>
      </c>
      <c r="AP110" s="72">
        <f t="shared" si="18"/>
        <v>72</v>
      </c>
      <c r="AQ110" s="71">
        <f t="shared" si="23"/>
        <v>69</v>
      </c>
      <c r="AR110" s="71">
        <f t="shared" si="23"/>
        <v>69</v>
      </c>
      <c r="AS110" s="71">
        <f t="shared" si="27"/>
        <v>59</v>
      </c>
      <c r="AT110" s="71">
        <f t="shared" si="28"/>
        <v>52</v>
      </c>
      <c r="AU110" s="71">
        <f t="shared" si="24"/>
        <v>51</v>
      </c>
      <c r="AV110" s="72">
        <f t="shared" si="25"/>
        <v>42</v>
      </c>
      <c r="AW110" s="72">
        <f>IF(ROUND(W110/VLOOKUP($C110,CapRate,13),0)&gt;AW109,W110/VLOOKUP($C110,CapRate,13),AW109)</f>
        <v>43.894389438943897</v>
      </c>
      <c r="AX110" s="72">
        <f>IF(ROUND(X110/VLOOKUP($C110,CapRate,14),0)&gt;AX109,X110/VLOOKUP($C110,CapRate,14),AX109)</f>
        <v>53.162055335968383</v>
      </c>
      <c r="AY110" s="72">
        <f>IF(ROUND(Y110/VLOOKUP($C110,CapRate,15),0)&gt;AY109,Y110/VLOOKUP($C110,CapRate,15),AY109)</f>
        <v>62.565445026178018</v>
      </c>
      <c r="AZ110" s="72">
        <f>IF(ROUND(Z110/VLOOKUP($C110,CapRate,16),0)&gt;AZ109,Z110/VLOOKUP($C110,CapRate,16),AZ109)</f>
        <v>62.948467058056103</v>
      </c>
      <c r="BA110" s="72">
        <f>IF(ROUND(AA110/VLOOKUP($C110,CapRate,17),0)&gt;BA109,AA110/VLOOKUP($C110,CapRate,17),BA109)</f>
        <v>66.731517509727624</v>
      </c>
      <c r="BB110" s="72">
        <f>IF(ROUND(AB110/VLOOKUP($C110,CapRate,18),0)&gt;BB109,AB110/VLOOKUP($C110,CapRate,18),BB109)</f>
        <v>71.612903225806448</v>
      </c>
      <c r="BC110" s="72">
        <f>IF(ROUND(AC110/VLOOKUP($C110,CapRate,19),0)&gt;BC109,AC110/VLOOKUP($C110,CapRate,19),BC109)</f>
        <v>79.73059653624118</v>
      </c>
      <c r="BD110" s="72">
        <f>IF(ROUND(AD110/VLOOKUP($C110,CapRate,20),0)&gt;BD109,AD110/VLOOKUP($C110,CapRate,20),BD109)</f>
        <v>87.42820676451818</v>
      </c>
      <c r="BE110" s="72">
        <f>IF(ROUND(AE110/VLOOKUP($C110,CapRate,21),0)&gt;BE109,AE110/VLOOKUP($C110,CapRate,21),BE109)</f>
        <v>95.489199491740777</v>
      </c>
      <c r="BF110" s="72">
        <f>IF(ROUND(AF110/VLOOKUP($C110,CapRate,22),0)&gt;BF109,AF110/VLOOKUP($C110,CapRate,22),BF109)</f>
        <v>98.796706776440772</v>
      </c>
      <c r="BG110" s="72">
        <f>IF(ROUND(AG110/VLOOKUP($C110,CapRate,23),0)&gt;BG109,AG110/VLOOKUP($C110,CapRate,23),BG109)</f>
        <v>103.41988600379986</v>
      </c>
      <c r="BH110" s="72">
        <f>IF(ROUND(AH110/VLOOKUP($C110,CapRate,24),0)&gt;BH109,AH110/VLOOKUP($C110,CapRate,24),BH109)</f>
        <v>110.39290240811155</v>
      </c>
      <c r="BI110" s="72">
        <f>IF(ROUND(AI110/VLOOKUP($C110,CapRate,25),0)&gt;BI109,AI110/VLOOKUP($C110,CapRate,25),BI109)</f>
        <v>118.74205844980941</v>
      </c>
      <c r="BJ110" s="72">
        <f>IF(ROUND(AJ110/VLOOKUP($C110,CapRate,26),0)&gt;BJ109,AJ110/VLOOKUP($C110,CapRate,26),BJ109)</f>
        <v>129.073482428115</v>
      </c>
      <c r="BK110" s="87">
        <f t="shared" si="26"/>
        <v>8.7007283798036461E-2</v>
      </c>
      <c r="BL110" s="76"/>
      <c r="BM110" s="77"/>
      <c r="BN110" s="77"/>
      <c r="BO110" s="77"/>
      <c r="BP110" s="77">
        <f>BK110</f>
        <v>8.7007283798036461E-2</v>
      </c>
    </row>
    <row r="111" spans="1:70" ht="15.9" customHeight="1">
      <c r="A111" s="54">
        <v>40</v>
      </c>
      <c r="B111" s="22"/>
      <c r="C111" s="8" t="s">
        <v>86</v>
      </c>
      <c r="D111" s="23"/>
      <c r="E111" s="8" t="s">
        <v>40</v>
      </c>
      <c r="F111" s="188">
        <f>[1]AcreSummary!J36</f>
        <v>0.53122329220758358</v>
      </c>
      <c r="G111" s="25"/>
      <c r="H111" s="117"/>
      <c r="I111" s="57">
        <f>[1]Dry!E36</f>
        <v>18.850000000000001</v>
      </c>
      <c r="J111" s="58">
        <f>[1]Dry!F36</f>
        <v>17.190000000000001</v>
      </c>
      <c r="K111" s="80">
        <f>[1]Dry!G36</f>
        <v>17.559999999999999</v>
      </c>
      <c r="L111" s="68">
        <f>[1]Dry!H36</f>
        <v>18.63</v>
      </c>
      <c r="M111" s="58">
        <f>[1]Dry!I36</f>
        <v>20</v>
      </c>
      <c r="N111" s="81">
        <f>[1]Dry!J36</f>
        <v>21.67</v>
      </c>
      <c r="O111" s="62">
        <v>21.67</v>
      </c>
      <c r="P111" s="81">
        <f>[1]Dry!K36</f>
        <v>23.27</v>
      </c>
      <c r="Q111" s="82">
        <f>[1]Dry!L36</f>
        <v>25.4</v>
      </c>
      <c r="R111" s="83">
        <f>Q111*0.95</f>
        <v>24.13</v>
      </c>
      <c r="S111" s="84">
        <f>[1]Dry!N36</f>
        <v>26.69</v>
      </c>
      <c r="T111" s="66">
        <f>[1]Dry!O36</f>
        <v>30.77</v>
      </c>
      <c r="U111" s="67">
        <f>[1]Dry!P36</f>
        <v>31.27</v>
      </c>
      <c r="V111" s="68">
        <f>[1]Dry!Q36</f>
        <v>26.97</v>
      </c>
      <c r="W111" s="68">
        <f>[1]Dry!R36</f>
        <v>29.78</v>
      </c>
      <c r="X111" s="68">
        <f>[1]Dry!S36</f>
        <v>32.67</v>
      </c>
      <c r="Y111" s="68">
        <f>[1]Dry!T36</f>
        <v>36.909999999999997</v>
      </c>
      <c r="Z111" s="68">
        <v>42.61</v>
      </c>
      <c r="AA111" s="68">
        <v>48.32</v>
      </c>
      <c r="AB111" s="68">
        <v>55.57</v>
      </c>
      <c r="AC111" s="68">
        <v>61.87</v>
      </c>
      <c r="AD111" s="68">
        <v>66.33</v>
      </c>
      <c r="AE111" s="68">
        <v>69.099999999999994</v>
      </c>
      <c r="AF111" s="68">
        <v>68.44</v>
      </c>
      <c r="AG111" s="69">
        <v>66.930000000000007</v>
      </c>
      <c r="AH111" s="70">
        <v>62.03</v>
      </c>
      <c r="AI111" s="70">
        <v>54.24</v>
      </c>
      <c r="AJ111" s="70">
        <v>48.27</v>
      </c>
      <c r="AK111" s="8">
        <f t="shared" si="19"/>
        <v>108</v>
      </c>
      <c r="AL111" s="8">
        <f t="shared" si="20"/>
        <v>109</v>
      </c>
      <c r="AM111" s="85">
        <f t="shared" si="21"/>
        <v>115</v>
      </c>
      <c r="AN111" s="23">
        <f t="shared" si="22"/>
        <v>126</v>
      </c>
      <c r="AO111" s="85">
        <f t="shared" si="17"/>
        <v>143</v>
      </c>
      <c r="AP111" s="72">
        <f t="shared" si="18"/>
        <v>155</v>
      </c>
      <c r="AQ111" s="71">
        <f t="shared" si="23"/>
        <v>170</v>
      </c>
      <c r="AR111" s="71">
        <f t="shared" si="23"/>
        <v>161</v>
      </c>
      <c r="AS111" s="71">
        <f t="shared" si="27"/>
        <v>179</v>
      </c>
      <c r="AT111" s="71">
        <f t="shared" si="28"/>
        <v>206</v>
      </c>
      <c r="AU111" s="71">
        <f t="shared" si="24"/>
        <v>210</v>
      </c>
      <c r="AV111" s="72">
        <f t="shared" si="25"/>
        <v>178</v>
      </c>
      <c r="AW111" s="72">
        <f>ROUND(W111/VLOOKUP($C111,CapRate,13),0)</f>
        <v>197</v>
      </c>
      <c r="AX111" s="72">
        <f>ROUND(X111/VLOOKUP($C111,CapRate,14),0)</f>
        <v>215</v>
      </c>
      <c r="AY111" s="72">
        <f>ROUND(Y111/VLOOKUP($C111,CapRate,15),0)</f>
        <v>242</v>
      </c>
      <c r="AZ111" s="72">
        <f>ROUND(Z111/VLOOKUP($C111,CapRate,16),0)</f>
        <v>278</v>
      </c>
      <c r="BA111" s="72">
        <f>ROUND(AA111/VLOOKUP($C111,CapRate,17),0)</f>
        <v>313</v>
      </c>
      <c r="BB111" s="72">
        <f>ROUND(AB111/VLOOKUP($C111,CapRate,18),0)</f>
        <v>359</v>
      </c>
      <c r="BC111" s="72">
        <f>ROUND(AC111/VLOOKUP($C111,CapRate,19),0)</f>
        <v>397</v>
      </c>
      <c r="BD111" s="72">
        <f>ROUND(AD111/VLOOKUP($C111,CapRate,20),0)</f>
        <v>423</v>
      </c>
      <c r="BE111" s="72">
        <f>ROUND(AE111/VLOOKUP($C111,CapRate,21),0)</f>
        <v>439</v>
      </c>
      <c r="BF111" s="72">
        <f>ROUND(AF111/VLOOKUP($C111,CapRate,22),0)</f>
        <v>433</v>
      </c>
      <c r="BG111" s="72">
        <f>ROUND(AG111/VLOOKUP($C111,CapRate,23),0)</f>
        <v>424</v>
      </c>
      <c r="BH111" s="72">
        <f>ROUND(AH111/VLOOKUP($C111,CapRate,24),0)</f>
        <v>393</v>
      </c>
      <c r="BI111" s="72">
        <f>ROUND(AI111/VLOOKUP($C111,CapRate,25),0)</f>
        <v>345</v>
      </c>
      <c r="BJ111" s="72">
        <f>ROUND(AJ111/VLOOKUP($C111,CapRate,26),0)</f>
        <v>308</v>
      </c>
      <c r="BK111" s="87">
        <f t="shared" si="26"/>
        <v>-0.10724637681159421</v>
      </c>
      <c r="BL111" s="76"/>
      <c r="BM111" s="77"/>
      <c r="BN111" s="77">
        <f>BK111</f>
        <v>-0.10724637681159421</v>
      </c>
      <c r="BO111" s="77"/>
      <c r="BP111" s="77"/>
    </row>
    <row r="112" spans="1:70" ht="15.9" customHeight="1" thickBot="1">
      <c r="A112" s="54">
        <v>40</v>
      </c>
      <c r="B112" s="22"/>
      <c r="C112" s="90" t="s">
        <v>86</v>
      </c>
      <c r="D112" s="91"/>
      <c r="E112" s="90" t="s">
        <v>41</v>
      </c>
      <c r="F112" s="190">
        <f>[1]AcreSummary!K36</f>
        <v>5.9442608493101588E-2</v>
      </c>
      <c r="G112" s="191">
        <f>[1]Irrigated!D43</f>
        <v>100</v>
      </c>
      <c r="H112" s="94">
        <f>[1]Irrigated!E43</f>
        <v>0.98029999999999995</v>
      </c>
      <c r="I112" s="95"/>
      <c r="J112" s="96">
        <f>[1]Irrigated!H43</f>
        <v>47.77</v>
      </c>
      <c r="K112" s="97">
        <f>[1]Irrigated!I43</f>
        <v>48.06</v>
      </c>
      <c r="L112" s="98">
        <f>[1]Irrigated!J43</f>
        <v>47.39</v>
      </c>
      <c r="M112" s="96">
        <f>[1]Irrigated!K43</f>
        <v>46.82</v>
      </c>
      <c r="N112" s="99">
        <f>[1]Irrigated!L43</f>
        <v>48.16</v>
      </c>
      <c r="O112" s="100">
        <v>44.98</v>
      </c>
      <c r="P112" s="99">
        <f>[1]Irrigated!M43</f>
        <v>47.3</v>
      </c>
      <c r="Q112" s="101">
        <f>[1]Irrigated!N43</f>
        <v>45.2</v>
      </c>
      <c r="R112" s="102">
        <v>45.2</v>
      </c>
      <c r="S112" s="103">
        <f>[1]Irrigated!O43</f>
        <v>43.56</v>
      </c>
      <c r="T112" s="104">
        <f>[1]Irrigated!P43</f>
        <v>43.78</v>
      </c>
      <c r="U112" s="105">
        <f>[1]Irrigated!Q43</f>
        <v>41.54</v>
      </c>
      <c r="V112" s="98">
        <f>[1]Irrigated!R43</f>
        <v>45.21</v>
      </c>
      <c r="W112" s="98">
        <f>[1]Irrigated!S43</f>
        <v>52.02</v>
      </c>
      <c r="X112" s="98">
        <v>60.5</v>
      </c>
      <c r="Y112" s="98">
        <v>72.78</v>
      </c>
      <c r="Z112" s="98">
        <v>85.95</v>
      </c>
      <c r="AA112" s="98">
        <v>97.25</v>
      </c>
      <c r="AB112" s="98">
        <v>111.2</v>
      </c>
      <c r="AC112" s="98">
        <v>121.44</v>
      </c>
      <c r="AD112" s="98">
        <v>126.39</v>
      </c>
      <c r="AE112" s="98">
        <v>129.09</v>
      </c>
      <c r="AF112" s="98">
        <v>127.45</v>
      </c>
      <c r="AG112" s="106">
        <v>121.35</v>
      </c>
      <c r="AH112" s="107">
        <v>103.52</v>
      </c>
      <c r="AI112" s="107">
        <v>77.8</v>
      </c>
      <c r="AJ112" s="107">
        <v>55.55</v>
      </c>
      <c r="AK112" s="90">
        <f t="shared" si="19"/>
        <v>299</v>
      </c>
      <c r="AL112" s="90">
        <f t="shared" si="20"/>
        <v>299</v>
      </c>
      <c r="AM112" s="108">
        <f t="shared" si="21"/>
        <v>292</v>
      </c>
      <c r="AN112" s="91">
        <f t="shared" si="22"/>
        <v>295</v>
      </c>
      <c r="AO112" s="108">
        <f t="shared" si="17"/>
        <v>296</v>
      </c>
      <c r="AP112" s="109">
        <f t="shared" si="18"/>
        <v>316</v>
      </c>
      <c r="AQ112" s="110">
        <f t="shared" si="23"/>
        <v>302</v>
      </c>
      <c r="AR112" s="110">
        <f t="shared" si="23"/>
        <v>302</v>
      </c>
      <c r="AS112" s="110">
        <f t="shared" si="27"/>
        <v>291</v>
      </c>
      <c r="AT112" s="110">
        <f t="shared" si="28"/>
        <v>294</v>
      </c>
      <c r="AU112" s="110">
        <f t="shared" si="24"/>
        <v>279</v>
      </c>
      <c r="AV112" s="109">
        <f t="shared" si="25"/>
        <v>299</v>
      </c>
      <c r="AW112" s="109">
        <f>ROUND(W112/VLOOKUP($C112,CapRate,13),0)</f>
        <v>343</v>
      </c>
      <c r="AX112" s="109">
        <f>ROUND(X112/VLOOKUP($C112,CapRate,14),0)</f>
        <v>399</v>
      </c>
      <c r="AY112" s="109">
        <f>ROUND(Y112/VLOOKUP($C112,CapRate,15),0)</f>
        <v>476</v>
      </c>
      <c r="AZ112" s="109">
        <f>ROUND(Z112/VLOOKUP($C112,CapRate,16),0)</f>
        <v>561</v>
      </c>
      <c r="BA112" s="109">
        <f>ROUND(AA112/VLOOKUP($C112,CapRate,17),0)</f>
        <v>631</v>
      </c>
      <c r="BB112" s="109">
        <f>ROUND(AB112/VLOOKUP($C112,CapRate,18),0)</f>
        <v>717</v>
      </c>
      <c r="BC112" s="109">
        <f>ROUND(AC112/VLOOKUP($C112,CapRate,19),0)</f>
        <v>779</v>
      </c>
      <c r="BD112" s="109">
        <f>ROUND(AD112/VLOOKUP($C112,CapRate,20),0)</f>
        <v>807</v>
      </c>
      <c r="BE112" s="109">
        <f>ROUND(AE112/VLOOKUP($C112,CapRate,21),0)</f>
        <v>820</v>
      </c>
      <c r="BF112" s="109">
        <f>ROUND(AF112/VLOOKUP($C112,CapRate,22),0)</f>
        <v>807</v>
      </c>
      <c r="BG112" s="109">
        <f>ROUND(AG112/VLOOKUP($C112,CapRate,23),0)</f>
        <v>769</v>
      </c>
      <c r="BH112" s="109">
        <f>ROUND(AH112/VLOOKUP($C112,CapRate,24),0)</f>
        <v>656</v>
      </c>
      <c r="BI112" s="109">
        <f>ROUND(AI112/VLOOKUP($C112,CapRate,25),0)</f>
        <v>494</v>
      </c>
      <c r="BJ112" s="109">
        <f>ROUND(AJ112/VLOOKUP($C112,CapRate,26),0)</f>
        <v>355</v>
      </c>
      <c r="BK112" s="193">
        <f t="shared" si="26"/>
        <v>-0.28137651821862353</v>
      </c>
      <c r="BL112" s="114">
        <f>((F109*BK109)+(F110*BK110)+(F111*BK111)+(F112*BK112))</f>
        <v>-5.5627993552609487E-2</v>
      </c>
      <c r="BM112" s="120"/>
      <c r="BN112" s="115"/>
      <c r="BO112" s="115">
        <f>BK112</f>
        <v>-0.28137651821862353</v>
      </c>
      <c r="BP112" s="115"/>
    </row>
    <row r="113" spans="1:68" ht="15.9" customHeight="1" thickTop="1">
      <c r="A113" s="54">
        <v>40</v>
      </c>
      <c r="B113" s="22"/>
      <c r="C113" s="8" t="s">
        <v>87</v>
      </c>
      <c r="D113" s="23" t="s">
        <v>87</v>
      </c>
      <c r="E113" s="8" t="s">
        <v>39</v>
      </c>
      <c r="F113" s="188">
        <f>[1]AcreSummary!M37</f>
        <v>0.38541619157981033</v>
      </c>
      <c r="G113" s="25"/>
      <c r="H113" s="117"/>
      <c r="I113" s="57">
        <f>[1]Native!E35</f>
        <v>7.05</v>
      </c>
      <c r="J113" s="58">
        <f>[1]Native!F35</f>
        <v>7.3659999999999997</v>
      </c>
      <c r="K113" s="80">
        <f>[1]Native!G35</f>
        <v>7.85</v>
      </c>
      <c r="L113" s="68">
        <f>[1]Native!H35</f>
        <v>8.1129999999999995</v>
      </c>
      <c r="M113" s="58">
        <f>[1]Native!I35</f>
        <v>8.43</v>
      </c>
      <c r="N113" s="81">
        <f>[1]Native!J35</f>
        <v>8.7200000000000006</v>
      </c>
      <c r="O113" s="62">
        <v>8.69</v>
      </c>
      <c r="P113" s="81">
        <f>[1]Native!K35</f>
        <v>8.74</v>
      </c>
      <c r="Q113" s="82">
        <f>[1]Native!L35</f>
        <v>8.6199999999999992</v>
      </c>
      <c r="R113" s="83">
        <v>8.6199999999999992</v>
      </c>
      <c r="S113" s="84">
        <f>[1]Native!M35</f>
        <v>8.6</v>
      </c>
      <c r="T113" s="66">
        <f>[1]Native!N35</f>
        <v>8.4600000000000009</v>
      </c>
      <c r="U113" s="67">
        <f>[1]Native!O35</f>
        <v>7.61</v>
      </c>
      <c r="V113" s="68">
        <f>[1]Native!P35</f>
        <v>3.97</v>
      </c>
      <c r="W113" s="68">
        <f>[1]Native!Q35</f>
        <v>3.2</v>
      </c>
      <c r="X113" s="68">
        <v>3.2</v>
      </c>
      <c r="Y113" s="68">
        <v>3.2</v>
      </c>
      <c r="Z113" s="68">
        <v>4.0999999999999996</v>
      </c>
      <c r="AA113" s="68">
        <v>5.01</v>
      </c>
      <c r="AB113" s="68">
        <v>6.11</v>
      </c>
      <c r="AC113" s="68">
        <v>7.27</v>
      </c>
      <c r="AD113" s="68">
        <v>8.3699999999999992</v>
      </c>
      <c r="AE113" s="68">
        <v>9.56</v>
      </c>
      <c r="AF113" s="68">
        <v>9.98</v>
      </c>
      <c r="AG113" s="69">
        <v>10.53</v>
      </c>
      <c r="AH113" s="70">
        <v>10.79</v>
      </c>
      <c r="AI113" s="70">
        <v>11.01</v>
      </c>
      <c r="AJ113" s="70">
        <v>11.49</v>
      </c>
      <c r="AK113" s="8">
        <f t="shared" si="19"/>
        <v>48</v>
      </c>
      <c r="AL113" s="8">
        <f t="shared" si="20"/>
        <v>51</v>
      </c>
      <c r="AM113" s="85">
        <f t="shared" si="21"/>
        <v>52</v>
      </c>
      <c r="AN113" s="23">
        <f t="shared" si="22"/>
        <v>55</v>
      </c>
      <c r="AO113" s="85">
        <f t="shared" si="17"/>
        <v>59</v>
      </c>
      <c r="AP113" s="72">
        <f t="shared" si="18"/>
        <v>60</v>
      </c>
      <c r="AQ113" s="71">
        <f t="shared" si="23"/>
        <v>59</v>
      </c>
      <c r="AR113" s="71">
        <f t="shared" si="23"/>
        <v>59</v>
      </c>
      <c r="AS113" s="71">
        <f t="shared" si="27"/>
        <v>59</v>
      </c>
      <c r="AT113" s="71">
        <f t="shared" si="28"/>
        <v>58</v>
      </c>
      <c r="AU113" s="71">
        <f t="shared" si="24"/>
        <v>52</v>
      </c>
      <c r="AV113" s="72">
        <f t="shared" si="25"/>
        <v>26</v>
      </c>
      <c r="AW113" s="122">
        <f>IF(ROUND(W113/VLOOKUP($C113,CapRate,13),0)&gt;10,W113/VLOOKUP($C113,CapRate,13),10)</f>
        <v>20.645161290322584</v>
      </c>
      <c r="AX113" s="122">
        <f>IF(ROUND(X113/VLOOKUP($C113,CapRate,14),0)&gt;10,X113/VLOOKUP($C113,CapRate,14),10)</f>
        <v>20.578778135048232</v>
      </c>
      <c r="AY113" s="122">
        <f>IF(ROUND(Y113/VLOOKUP($C113,CapRate,15),0)&gt;10,Y113/VLOOKUP($C113,CapRate,15),10)</f>
        <v>20.253164556962027</v>
      </c>
      <c r="AZ113" s="122">
        <f>IF(ROUND(Z113/VLOOKUP($C113,CapRate,16),0)&gt;10,Z113/VLOOKUP($C113,CapRate,16),10)</f>
        <v>25.851197982345521</v>
      </c>
      <c r="BA113" s="122">
        <f>IF(ROUND(AA113/VLOOKUP($C113,CapRate,17),0)&gt;10,AA113/VLOOKUP($C113,CapRate,17),10)</f>
        <v>31.253898939488458</v>
      </c>
      <c r="BB113" s="122">
        <f>IF(ROUND(AB113/VLOOKUP($C113,CapRate,18),0)&gt;10,AB113/VLOOKUP($C113,CapRate,18),10)</f>
        <v>38.068535825545169</v>
      </c>
      <c r="BC113" s="122">
        <f>IF(ROUND(AC113/VLOOKUP($C113,CapRate,19),0)&gt;10,AC113/VLOOKUP($C113,CapRate,19),10)</f>
        <v>45.352464129756704</v>
      </c>
      <c r="BD113" s="122">
        <f>IF(ROUND(AD113/VLOOKUP($C113,CapRate,20),0)&gt;10,AD113/VLOOKUP($C113,CapRate,20),10)</f>
        <v>52.410770194113958</v>
      </c>
      <c r="BE113" s="122">
        <f>IF(ROUND(AE113/VLOOKUP($C113,CapRate,21),0)&gt;10,AE113/VLOOKUP($C113,CapRate,21),10)</f>
        <v>60.163624921334169</v>
      </c>
      <c r="BF113" s="122">
        <f>IF(ROUND(AF113/VLOOKUP($C113,CapRate,22),0)&gt;10,AF113/VLOOKUP($C113,CapRate,22),10)</f>
        <v>63.204559848005061</v>
      </c>
      <c r="BG113" s="122">
        <f>IF(ROUND(AG113/VLOOKUP($C113,CapRate,23),0)&gt;10,AG113/VLOOKUP($C113,CapRate,23),10)</f>
        <v>67.327365728900247</v>
      </c>
      <c r="BH113" s="122">
        <f>IF(ROUND(AH113/VLOOKUP($C113,CapRate,24),0)&gt;10,AH113/VLOOKUP($C113,CapRate,24),10)</f>
        <v>69.612903225806448</v>
      </c>
      <c r="BI113" s="122">
        <f>IF(ROUND(AI113/VLOOKUP($C113,CapRate,25),0)&gt;10,AI113/VLOOKUP($C113,CapRate,25),10)</f>
        <v>71.493506493506487</v>
      </c>
      <c r="BJ113" s="122">
        <f>IF(ROUND(AJ113/VLOOKUP($C113,CapRate,26),0)&gt;10,AJ113/VLOOKUP($C113,CapRate,26),10)</f>
        <v>75.196335078534034</v>
      </c>
      <c r="BK113" s="75">
        <f t="shared" si="26"/>
        <v>5.1792516084854023E-2</v>
      </c>
      <c r="BL113" s="76"/>
      <c r="BM113" s="77">
        <f>BK113</f>
        <v>5.1792516084854023E-2</v>
      </c>
      <c r="BN113" s="77"/>
      <c r="BO113" s="77"/>
      <c r="BP113" s="77"/>
    </row>
    <row r="114" spans="1:68" ht="15.9" customHeight="1">
      <c r="A114" s="54"/>
      <c r="B114" s="22"/>
      <c r="C114" s="8" t="s">
        <v>87</v>
      </c>
      <c r="D114" s="23"/>
      <c r="E114" s="8" t="s">
        <v>85</v>
      </c>
      <c r="F114" s="188">
        <f>[1]AcreSummary!L37</f>
        <v>2.8226948871806252E-5</v>
      </c>
      <c r="G114" s="25"/>
      <c r="H114" s="117"/>
      <c r="I114" s="57"/>
      <c r="J114" s="58">
        <f>[1]Tame!D4</f>
        <v>9.6110000000000007</v>
      </c>
      <c r="K114" s="80">
        <f>[1]Tame!E4</f>
        <v>9.1300000000000008</v>
      </c>
      <c r="L114" s="68">
        <f>[1]Tame!F4</f>
        <v>8.5879999999999992</v>
      </c>
      <c r="M114" s="58">
        <f>[1]Tame!G4</f>
        <v>8.0950000000000006</v>
      </c>
      <c r="N114" s="81">
        <f>[1]Tame!H4</f>
        <v>7.49</v>
      </c>
      <c r="O114" s="62">
        <v>8.86</v>
      </c>
      <c r="P114" s="81">
        <f>[1]Tame!I4</f>
        <v>6.52</v>
      </c>
      <c r="Q114" s="82">
        <f>[1]Tame!J4</f>
        <v>6.02</v>
      </c>
      <c r="R114" s="83">
        <v>6.02</v>
      </c>
      <c r="S114" s="84">
        <f>[1]Tame!K4</f>
        <v>4.99</v>
      </c>
      <c r="T114" s="66">
        <f>[1]Tame!L4</f>
        <v>3.07</v>
      </c>
      <c r="U114" s="67">
        <f>[1]Tame!M4</f>
        <v>2.82</v>
      </c>
      <c r="V114" s="68">
        <f>[1]Tame!N4</f>
        <v>0.32</v>
      </c>
      <c r="W114" s="68">
        <f>[1]Tame!O4</f>
        <v>-0.59</v>
      </c>
      <c r="X114" s="68">
        <v>-0.42</v>
      </c>
      <c r="Y114" s="68">
        <v>-0.2</v>
      </c>
      <c r="Z114" s="68">
        <v>-0.74</v>
      </c>
      <c r="AA114" s="68">
        <v>-0.64</v>
      </c>
      <c r="AB114" s="68">
        <v>-0.54</v>
      </c>
      <c r="AC114" s="68">
        <v>-0.48</v>
      </c>
      <c r="AD114" s="68">
        <v>2.0299999999999998</v>
      </c>
      <c r="AE114" s="68">
        <v>3.76</v>
      </c>
      <c r="AF114" s="68">
        <v>4.41</v>
      </c>
      <c r="AG114" s="69">
        <v>5.14</v>
      </c>
      <c r="AH114" s="70">
        <v>6.66</v>
      </c>
      <c r="AI114" s="70">
        <v>7.31</v>
      </c>
      <c r="AJ114" s="70">
        <v>8.1999999999999993</v>
      </c>
      <c r="AK114" s="8">
        <f t="shared" si="19"/>
        <v>62</v>
      </c>
      <c r="AL114" s="24">
        <f>ROUND(K114/VLOOKUP($C114,CapRate,2),0)</f>
        <v>59</v>
      </c>
      <c r="AM114" s="8">
        <f>ROUND(L114/VLOOKUP($C114,CapRate,2),0)</f>
        <v>56</v>
      </c>
      <c r="AN114" s="23">
        <f>ROUND(M114/VLOOKUP($C114,CapRate,2),0)</f>
        <v>52</v>
      </c>
      <c r="AO114" s="85">
        <f t="shared" si="17"/>
        <v>60</v>
      </c>
      <c r="AP114" s="72">
        <f t="shared" si="18"/>
        <v>45</v>
      </c>
      <c r="AQ114" s="71">
        <f t="shared" si="23"/>
        <v>41</v>
      </c>
      <c r="AR114" s="71">
        <f t="shared" si="23"/>
        <v>41</v>
      </c>
      <c r="AS114" s="71">
        <f t="shared" si="27"/>
        <v>34</v>
      </c>
      <c r="AT114" s="71">
        <f t="shared" si="28"/>
        <v>21</v>
      </c>
      <c r="AU114" s="71">
        <f t="shared" si="24"/>
        <v>19</v>
      </c>
      <c r="AV114" s="72">
        <f>IF(ROUND(V114/VLOOKUP($C114,CapRate,12),0)&gt;AV113,V114/VLOOKUP($C114,CapRate,12),AV113)</f>
        <v>26</v>
      </c>
      <c r="AW114" s="72">
        <f>IF(ROUND(W114/VLOOKUP($C114,CapRate,13),0)&gt;AW113,W114/VLOOKUP($C114,CapRate,13),AW113)</f>
        <v>20.645161290322584</v>
      </c>
      <c r="AX114" s="72">
        <f>IF(ROUND(X114/VLOOKUP($C114,CapRate,14),0)&gt;AX113,X114/VLOOKUP($C114,CapRate,14),AX113)</f>
        <v>20.578778135048232</v>
      </c>
      <c r="AY114" s="72">
        <f>IF(ROUND(Y114/VLOOKUP($C114,CapRate,15),0)&gt;AY113,Y114/VLOOKUP($C114,CapRate,15),AY113)</f>
        <v>20.253164556962027</v>
      </c>
      <c r="AZ114" s="72">
        <f>IF(ROUND(Z114/VLOOKUP($C114,CapRate,16),0)&gt;AZ113,Z114/VLOOKUP($C114,CapRate,16),AZ113)</f>
        <v>25.851197982345521</v>
      </c>
      <c r="BA114" s="72">
        <f>IF(ROUND(AA114/VLOOKUP($C114,CapRate,17),0)&gt;BA113,AA114/VLOOKUP($C114,CapRate,17),BA113)</f>
        <v>31.253898939488458</v>
      </c>
      <c r="BB114" s="72">
        <f>IF(ROUND(AB114/VLOOKUP($C114,CapRate,18),0)&gt;BB113,AB114/VLOOKUP($C114,CapRate,18),BB113)</f>
        <v>38.068535825545169</v>
      </c>
      <c r="BC114" s="72">
        <f>IF(ROUND(AC114/VLOOKUP($C114,CapRate,19),0)&gt;BC113,AC114/VLOOKUP($C114,CapRate,19),BC113)</f>
        <v>45.352464129756704</v>
      </c>
      <c r="BD114" s="72">
        <f>IF(ROUND(AD114/VLOOKUP($C114,CapRate,20),0)&gt;BD113,AD114/VLOOKUP($C114,CapRate,20),BD113)</f>
        <v>52.410770194113958</v>
      </c>
      <c r="BE114" s="72">
        <f>IF(ROUND(AE114/VLOOKUP($C114,CapRate,21),0)&gt;BE113,AE114/VLOOKUP($C114,CapRate,21),BE113)</f>
        <v>60.163624921334169</v>
      </c>
      <c r="BF114" s="72">
        <f>IF(ROUND(AF114/VLOOKUP($C114,CapRate,22),0)&gt;BF113,AF114/VLOOKUP($C114,CapRate,22),BF113)</f>
        <v>63.204559848005061</v>
      </c>
      <c r="BG114" s="72">
        <f>IF(ROUND(AG114/VLOOKUP($C114,CapRate,23),0)&gt;BG113,AG114/VLOOKUP($C114,CapRate,23),BG113)</f>
        <v>67.327365728900247</v>
      </c>
      <c r="BH114" s="72">
        <f>IF(ROUND(AH114/VLOOKUP($C114,CapRate,24),0)&gt;BH113,AH114/VLOOKUP($C114,CapRate,24),BH113)</f>
        <v>69.612903225806448</v>
      </c>
      <c r="BI114" s="72">
        <f>IF(ROUND(AI114/VLOOKUP($C114,CapRate,25),0)&gt;BI113,AI114/VLOOKUP($C114,CapRate,25),BI113)</f>
        <v>71.493506493506487</v>
      </c>
      <c r="BJ114" s="72">
        <f>IF(ROUND(AJ114/VLOOKUP($C114,CapRate,26),0)&gt;BJ113,AJ114/VLOOKUP($C114,CapRate,26),BJ113)</f>
        <v>75.196335078534034</v>
      </c>
      <c r="BK114" s="87">
        <f t="shared" si="26"/>
        <v>5.1792516084854023E-2</v>
      </c>
      <c r="BL114" s="76"/>
      <c r="BM114" s="77"/>
      <c r="BN114" s="77"/>
      <c r="BO114" s="77"/>
      <c r="BP114" s="77">
        <f>BK114</f>
        <v>5.1792516084854023E-2</v>
      </c>
    </row>
    <row r="115" spans="1:68" ht="15.9" customHeight="1">
      <c r="A115" s="54">
        <v>40</v>
      </c>
      <c r="B115" s="22"/>
      <c r="C115" s="8" t="s">
        <v>87</v>
      </c>
      <c r="D115" s="23"/>
      <c r="E115" s="8" t="s">
        <v>40</v>
      </c>
      <c r="F115" s="188">
        <f>[1]AcreSummary!J37</f>
        <v>0.5928128168797796</v>
      </c>
      <c r="G115" s="25"/>
      <c r="H115" s="117"/>
      <c r="I115" s="57">
        <f>[1]Dry!E37</f>
        <v>20.43</v>
      </c>
      <c r="J115" s="58">
        <f>[1]Dry!F37</f>
        <v>19.059999999999999</v>
      </c>
      <c r="K115" s="80">
        <f>[1]Dry!G37</f>
        <v>19.940000000000001</v>
      </c>
      <c r="L115" s="68">
        <f>[1]Dry!H37</f>
        <v>21.24</v>
      </c>
      <c r="M115" s="58">
        <f>[1]Dry!I37</f>
        <v>22.9</v>
      </c>
      <c r="N115" s="81">
        <f>[1]Dry!J37</f>
        <v>24.6</v>
      </c>
      <c r="O115" s="62">
        <v>24.65</v>
      </c>
      <c r="P115" s="81">
        <f>[1]Dry!K37</f>
        <v>25.81</v>
      </c>
      <c r="Q115" s="82">
        <f>[1]Dry!L37</f>
        <v>27.39</v>
      </c>
      <c r="R115" s="83">
        <f>Q115*0.95</f>
        <v>26.020499999999998</v>
      </c>
      <c r="S115" s="84">
        <f>[1]Dry!N37</f>
        <v>28.29</v>
      </c>
      <c r="T115" s="66">
        <f>[1]Dry!O37</f>
        <v>29.03</v>
      </c>
      <c r="U115" s="67">
        <f>[1]Dry!P37</f>
        <v>28.57</v>
      </c>
      <c r="V115" s="68">
        <f>[1]Dry!Q37</f>
        <v>26.57</v>
      </c>
      <c r="W115" s="68">
        <f>[1]Dry!R37</f>
        <v>29.44</v>
      </c>
      <c r="X115" s="68">
        <f>[1]Dry!S37</f>
        <v>33.229999999999997</v>
      </c>
      <c r="Y115" s="68">
        <f>[1]Dry!T37</f>
        <v>38.69</v>
      </c>
      <c r="Z115" s="68">
        <v>44.94</v>
      </c>
      <c r="AA115" s="68">
        <v>51.79</v>
      </c>
      <c r="AB115" s="68">
        <v>64.55</v>
      </c>
      <c r="AC115" s="68">
        <v>72.599999999999994</v>
      </c>
      <c r="AD115" s="68">
        <v>77.290000000000006</v>
      </c>
      <c r="AE115" s="68">
        <v>80.95</v>
      </c>
      <c r="AF115" s="68">
        <v>80.260000000000005</v>
      </c>
      <c r="AG115" s="69">
        <v>78.23</v>
      </c>
      <c r="AH115" s="70">
        <v>72.75</v>
      </c>
      <c r="AI115" s="70">
        <v>63.33</v>
      </c>
      <c r="AJ115" s="70">
        <v>55.44</v>
      </c>
      <c r="AK115" s="8">
        <f t="shared" si="19"/>
        <v>124</v>
      </c>
      <c r="AL115" s="8">
        <f t="shared" si="20"/>
        <v>129</v>
      </c>
      <c r="AM115" s="85">
        <f t="shared" si="21"/>
        <v>136</v>
      </c>
      <c r="AN115" s="23">
        <f t="shared" si="22"/>
        <v>149</v>
      </c>
      <c r="AO115" s="85">
        <f t="shared" si="17"/>
        <v>167</v>
      </c>
      <c r="AP115" s="72">
        <f t="shared" si="18"/>
        <v>177</v>
      </c>
      <c r="AQ115" s="71">
        <f t="shared" si="23"/>
        <v>187</v>
      </c>
      <c r="AR115" s="71">
        <f t="shared" si="23"/>
        <v>177</v>
      </c>
      <c r="AS115" s="71">
        <f t="shared" si="27"/>
        <v>193</v>
      </c>
      <c r="AT115" s="71">
        <f t="shared" si="28"/>
        <v>198</v>
      </c>
      <c r="AU115" s="71">
        <f t="shared" si="24"/>
        <v>194</v>
      </c>
      <c r="AV115" s="72">
        <f t="shared" si="25"/>
        <v>173</v>
      </c>
      <c r="AW115" s="72">
        <f>ROUND(W115/VLOOKUP($C115,CapRate,13),0)</f>
        <v>190</v>
      </c>
      <c r="AX115" s="72">
        <f>ROUND(X115/VLOOKUP($C115,CapRate,14),0)</f>
        <v>214</v>
      </c>
      <c r="AY115" s="72">
        <f>ROUND(Y115/VLOOKUP($C115,CapRate,15),0)</f>
        <v>245</v>
      </c>
      <c r="AZ115" s="72">
        <f>ROUND(Z115/VLOOKUP($C115,CapRate,16),0)</f>
        <v>283</v>
      </c>
      <c r="BA115" s="72">
        <f>ROUND(AA115/VLOOKUP($C115,CapRate,17),0)</f>
        <v>323</v>
      </c>
      <c r="BB115" s="72">
        <f>ROUND(AB115/VLOOKUP($C115,CapRate,18),0)</f>
        <v>402</v>
      </c>
      <c r="BC115" s="72">
        <f>ROUND(AC115/VLOOKUP($C115,CapRate,19),0)</f>
        <v>453</v>
      </c>
      <c r="BD115" s="72">
        <f>ROUND(AD115/VLOOKUP($C115,CapRate,20),0)</f>
        <v>484</v>
      </c>
      <c r="BE115" s="72">
        <f>ROUND(AE115/VLOOKUP($C115,CapRate,21),0)</f>
        <v>509</v>
      </c>
      <c r="BF115" s="72">
        <f>ROUND(AF115/VLOOKUP($C115,CapRate,22),0)</f>
        <v>508</v>
      </c>
      <c r="BG115" s="72">
        <f>ROUND(AG115/VLOOKUP($C115,CapRate,23),0)</f>
        <v>500</v>
      </c>
      <c r="BH115" s="72">
        <f>ROUND(AH115/VLOOKUP($C115,CapRate,24),0)</f>
        <v>469</v>
      </c>
      <c r="BI115" s="72">
        <f>ROUND(AI115/VLOOKUP($C115,CapRate,25),0)</f>
        <v>411</v>
      </c>
      <c r="BJ115" s="72">
        <f>ROUND(AJ115/VLOOKUP($C115,CapRate,26),0)</f>
        <v>363</v>
      </c>
      <c r="BK115" s="87">
        <f t="shared" si="26"/>
        <v>-0.11678832116788318</v>
      </c>
      <c r="BL115" s="76"/>
      <c r="BM115" s="77"/>
      <c r="BN115" s="77">
        <f>BK115</f>
        <v>-0.11678832116788318</v>
      </c>
      <c r="BO115" s="77"/>
      <c r="BP115" s="77"/>
    </row>
    <row r="116" spans="1:68" ht="15.9" customHeight="1" thickBot="1">
      <c r="A116" s="54">
        <v>40</v>
      </c>
      <c r="B116" s="22"/>
      <c r="C116" s="90" t="s">
        <v>87</v>
      </c>
      <c r="D116" s="91"/>
      <c r="E116" s="90" t="s">
        <v>41</v>
      </c>
      <c r="F116" s="190">
        <f>[1]AcreSummary!K37</f>
        <v>2.174276459153833E-2</v>
      </c>
      <c r="G116" s="191">
        <f>[1]Irrigated!D44</f>
        <v>100</v>
      </c>
      <c r="H116" s="94">
        <f>[1]Irrigated!E44</f>
        <v>1</v>
      </c>
      <c r="I116" s="95"/>
      <c r="J116" s="96">
        <f>[1]Irrigated!H44</f>
        <v>45.13</v>
      </c>
      <c r="K116" s="97">
        <f>[1]Irrigated!I44</f>
        <v>44.06</v>
      </c>
      <c r="L116" s="98">
        <f>[1]Irrigated!J44</f>
        <v>41.98</v>
      </c>
      <c r="M116" s="96">
        <f>[1]Irrigated!K44</f>
        <v>39.950000000000003</v>
      </c>
      <c r="N116" s="99">
        <f>[1]Irrigated!L44</f>
        <v>39.729999999999997</v>
      </c>
      <c r="O116" s="100">
        <v>35.56</v>
      </c>
      <c r="P116" s="99">
        <f>[1]Irrigated!M44</f>
        <v>41.26</v>
      </c>
      <c r="Q116" s="101">
        <f>[1]Irrigated!N44</f>
        <v>41.6</v>
      </c>
      <c r="R116" s="102">
        <v>41.6</v>
      </c>
      <c r="S116" s="103">
        <f>[1]Irrigated!O44</f>
        <v>41.59</v>
      </c>
      <c r="T116" s="104">
        <f>[1]Irrigated!P44</f>
        <v>42.4</v>
      </c>
      <c r="U116" s="105">
        <f>[1]Irrigated!Q44</f>
        <v>41.73</v>
      </c>
      <c r="V116" s="98">
        <f>[1]Irrigated!R44</f>
        <v>49.75</v>
      </c>
      <c r="W116" s="98">
        <f>[1]Irrigated!S44</f>
        <v>56.98</v>
      </c>
      <c r="X116" s="98">
        <v>65.930000000000007</v>
      </c>
      <c r="Y116" s="98">
        <v>78.81</v>
      </c>
      <c r="Z116" s="98">
        <v>92.78</v>
      </c>
      <c r="AA116" s="98">
        <v>104.54</v>
      </c>
      <c r="AB116" s="98">
        <v>119.87</v>
      </c>
      <c r="AC116" s="98">
        <v>128.08000000000001</v>
      </c>
      <c r="AD116" s="98">
        <v>133.1</v>
      </c>
      <c r="AE116" s="98">
        <v>135.96</v>
      </c>
      <c r="AF116" s="98">
        <v>134.41</v>
      </c>
      <c r="AG116" s="106">
        <v>128.54</v>
      </c>
      <c r="AH116" s="107">
        <v>110.8</v>
      </c>
      <c r="AI116" s="107">
        <v>85.3</v>
      </c>
      <c r="AJ116" s="107">
        <v>63.24</v>
      </c>
      <c r="AK116" s="90">
        <f t="shared" si="19"/>
        <v>293</v>
      </c>
      <c r="AL116" s="90">
        <f t="shared" si="20"/>
        <v>285</v>
      </c>
      <c r="AM116" s="108">
        <f t="shared" si="21"/>
        <v>268</v>
      </c>
      <c r="AN116" s="91">
        <f t="shared" si="22"/>
        <v>261</v>
      </c>
      <c r="AO116" s="108">
        <f t="shared" si="17"/>
        <v>241</v>
      </c>
      <c r="AP116" s="109">
        <f t="shared" si="18"/>
        <v>283</v>
      </c>
      <c r="AQ116" s="110">
        <f t="shared" si="23"/>
        <v>283</v>
      </c>
      <c r="AR116" s="110">
        <f t="shared" si="23"/>
        <v>283</v>
      </c>
      <c r="AS116" s="110">
        <f t="shared" si="27"/>
        <v>283</v>
      </c>
      <c r="AT116" s="110">
        <f t="shared" si="28"/>
        <v>288</v>
      </c>
      <c r="AU116" s="110">
        <f t="shared" si="24"/>
        <v>284</v>
      </c>
      <c r="AV116" s="109">
        <f t="shared" si="25"/>
        <v>324</v>
      </c>
      <c r="AW116" s="109">
        <f>ROUND(W116/VLOOKUP($C116,CapRate,13),0)</f>
        <v>368</v>
      </c>
      <c r="AX116" s="109">
        <f>ROUND(X116/VLOOKUP($C116,CapRate,14),0)</f>
        <v>424</v>
      </c>
      <c r="AY116" s="109">
        <f>ROUND(Y116/VLOOKUP($C116,CapRate,15),0)</f>
        <v>499</v>
      </c>
      <c r="AZ116" s="109">
        <f>ROUND(Z116/VLOOKUP($C116,CapRate,16),0)</f>
        <v>585</v>
      </c>
      <c r="BA116" s="109">
        <f>ROUND(AA116/VLOOKUP($C116,CapRate,17),0)</f>
        <v>652</v>
      </c>
      <c r="BB116" s="109">
        <f>ROUND(AB116/VLOOKUP($C116,CapRate,18),0)</f>
        <v>747</v>
      </c>
      <c r="BC116" s="109">
        <f>ROUND(AC116/VLOOKUP($C116,CapRate,19),0)</f>
        <v>799</v>
      </c>
      <c r="BD116" s="109">
        <f>ROUND(AD116/VLOOKUP($C116,CapRate,20),0)</f>
        <v>833</v>
      </c>
      <c r="BE116" s="109">
        <f>ROUND(AE116/VLOOKUP($C116,CapRate,21),0)</f>
        <v>856</v>
      </c>
      <c r="BF116" s="109">
        <f>ROUND(AF116/VLOOKUP($C116,CapRate,22),0)</f>
        <v>851</v>
      </c>
      <c r="BG116" s="109">
        <f>ROUND(AG116/VLOOKUP($C116,CapRate,23),0)</f>
        <v>822</v>
      </c>
      <c r="BH116" s="109">
        <f>ROUND(AH116/VLOOKUP($C116,CapRate,24),0)</f>
        <v>715</v>
      </c>
      <c r="BI116" s="109">
        <f>ROUND(AI116/VLOOKUP($C116,CapRate,25),0)</f>
        <v>554</v>
      </c>
      <c r="BJ116" s="109">
        <f>ROUND(AJ116/VLOOKUP($C116,CapRate,26),0)</f>
        <v>414</v>
      </c>
      <c r="BK116" s="193">
        <f t="shared" si="26"/>
        <v>-0.25270758122743686</v>
      </c>
      <c r="BL116" s="114">
        <f>((F113*BK113)+(F114*BK114)+(F115*BK115)+(F116*BK116))</f>
        <v>-5.4765038852854449E-2</v>
      </c>
      <c r="BM116" s="120"/>
      <c r="BN116" s="115"/>
      <c r="BO116" s="115">
        <f>BK116</f>
        <v>-0.25270758122743686</v>
      </c>
      <c r="BP116" s="115"/>
    </row>
    <row r="117" spans="1:68" ht="15.9" customHeight="1" thickTop="1">
      <c r="A117" s="54">
        <v>40</v>
      </c>
      <c r="B117" s="22"/>
      <c r="C117" s="8" t="s">
        <v>88</v>
      </c>
      <c r="D117" s="23" t="s">
        <v>88</v>
      </c>
      <c r="E117" s="8" t="s">
        <v>39</v>
      </c>
      <c r="F117" s="188">
        <f>[1]AcreSummary!M38</f>
        <v>0.28746358044751352</v>
      </c>
      <c r="G117" s="25"/>
      <c r="H117" s="117"/>
      <c r="I117" s="57">
        <f>[1]Native!E36</f>
        <v>7.28</v>
      </c>
      <c r="J117" s="58">
        <f>[1]Native!F36</f>
        <v>7.5720000000000001</v>
      </c>
      <c r="K117" s="80">
        <f>[1]Native!G36</f>
        <v>8.0329999999999995</v>
      </c>
      <c r="L117" s="68">
        <f>[1]Native!H36</f>
        <v>8.2759999999999998</v>
      </c>
      <c r="M117" s="58">
        <f>[1]Native!I36</f>
        <v>8.5709999999999997</v>
      </c>
      <c r="N117" s="81">
        <f>[1]Native!J36</f>
        <v>8.84</v>
      </c>
      <c r="O117" s="62">
        <v>8.9</v>
      </c>
      <c r="P117" s="81">
        <f>[1]Native!K36</f>
        <v>8.82</v>
      </c>
      <c r="Q117" s="82">
        <f>[1]Native!L36</f>
        <v>8.67</v>
      </c>
      <c r="R117" s="83">
        <v>8.67</v>
      </c>
      <c r="S117" s="84">
        <f>[1]Native!M36</f>
        <v>8.6199999999999992</v>
      </c>
      <c r="T117" s="66">
        <f>[1]Native!N36</f>
        <v>8.4499999999999993</v>
      </c>
      <c r="U117" s="67">
        <f>[1]Native!O36</f>
        <v>7.6</v>
      </c>
      <c r="V117" s="68">
        <f>[1]Native!P36</f>
        <v>3.87</v>
      </c>
      <c r="W117" s="68">
        <f>[1]Native!Q36</f>
        <v>3.16</v>
      </c>
      <c r="X117" s="68">
        <v>3.29</v>
      </c>
      <c r="Y117" s="68">
        <v>3.33</v>
      </c>
      <c r="Z117" s="68">
        <v>4.25</v>
      </c>
      <c r="AA117" s="68">
        <v>5.19</v>
      </c>
      <c r="AB117" s="68">
        <v>6.29</v>
      </c>
      <c r="AC117" s="68">
        <v>7.49</v>
      </c>
      <c r="AD117" s="68">
        <v>8.59</v>
      </c>
      <c r="AE117" s="68">
        <v>9.7899999999999991</v>
      </c>
      <c r="AF117" s="68">
        <v>10.220000000000001</v>
      </c>
      <c r="AG117" s="69">
        <v>10.77</v>
      </c>
      <c r="AH117" s="70">
        <v>11.02</v>
      </c>
      <c r="AI117" s="70">
        <v>11.27</v>
      </c>
      <c r="AJ117" s="70">
        <v>11.75</v>
      </c>
      <c r="AK117" s="8">
        <f t="shared" si="19"/>
        <v>50</v>
      </c>
      <c r="AL117" s="8">
        <f t="shared" si="20"/>
        <v>53</v>
      </c>
      <c r="AM117" s="85">
        <f t="shared" si="21"/>
        <v>54</v>
      </c>
      <c r="AN117" s="23">
        <f t="shared" si="22"/>
        <v>57</v>
      </c>
      <c r="AO117" s="85">
        <f t="shared" si="17"/>
        <v>62</v>
      </c>
      <c r="AP117" s="72">
        <f t="shared" si="18"/>
        <v>62</v>
      </c>
      <c r="AQ117" s="71">
        <f t="shared" si="23"/>
        <v>61</v>
      </c>
      <c r="AR117" s="71">
        <f t="shared" si="23"/>
        <v>61</v>
      </c>
      <c r="AS117" s="71">
        <f t="shared" si="27"/>
        <v>60</v>
      </c>
      <c r="AT117" s="71">
        <f t="shared" si="28"/>
        <v>59</v>
      </c>
      <c r="AU117" s="71">
        <f t="shared" si="24"/>
        <v>53</v>
      </c>
      <c r="AV117" s="72">
        <f t="shared" si="25"/>
        <v>26</v>
      </c>
      <c r="AW117" s="122">
        <f>IF(ROUND(W117/VLOOKUP($C117,CapRate,13),0)&gt;10,W117/VLOOKUP($C117,CapRate,13),10)</f>
        <v>20.721311475409838</v>
      </c>
      <c r="AX117" s="122">
        <f>IF(ROUND(X117/VLOOKUP($C117,CapRate,14),0)&gt;10,X117/VLOOKUP($C117,CapRate,14),10)</f>
        <v>21.503267973856211</v>
      </c>
      <c r="AY117" s="122">
        <f>IF(ROUND(Y117/VLOOKUP($C117,CapRate,15),0)&gt;10,Y117/VLOOKUP($C117,CapRate,15),10)</f>
        <v>21.497740477727564</v>
      </c>
      <c r="AZ117" s="122">
        <f>IF(ROUND(Z117/VLOOKUP($C117,CapRate,16),0)&gt;10,Z117/VLOOKUP($C117,CapRate,16),10)</f>
        <v>27.348777348777347</v>
      </c>
      <c r="BA117" s="122">
        <f>IF(ROUND(AA117/VLOOKUP($C117,CapRate,17),0)&gt;10,AA117/VLOOKUP($C117,CapRate,17),10)</f>
        <v>33.057324840764331</v>
      </c>
      <c r="BB117" s="122">
        <f>IF(ROUND(AB117/VLOOKUP($C117,CapRate,18),0)&gt;10,AB117/VLOOKUP($C117,CapRate,18),10)</f>
        <v>39.936507936507937</v>
      </c>
      <c r="BC117" s="122">
        <f>IF(ROUND(AC117/VLOOKUP($C117,CapRate,19),0)&gt;10,AC117/VLOOKUP($C117,CapRate,19),10)</f>
        <v>47.405063291139243</v>
      </c>
      <c r="BD117" s="122">
        <f>IF(ROUND(AD117/VLOOKUP($C117,CapRate,20),0)&gt;10,AD117/VLOOKUP($C117,CapRate,20),10)</f>
        <v>54.264055590650663</v>
      </c>
      <c r="BE117" s="122">
        <f>IF(ROUND(AE117/VLOOKUP($C117,CapRate,21),0)&gt;10,AE117/VLOOKUP($C117,CapRate,21),10)</f>
        <v>61.805555555555543</v>
      </c>
      <c r="BF117" s="122">
        <f>IF(ROUND(AF117/VLOOKUP($C117,CapRate,22),0)&gt;10,AF117/VLOOKUP($C117,CapRate,22),10)</f>
        <v>64.479495268138805</v>
      </c>
      <c r="BG117" s="122">
        <f>IF(ROUND(AG117/VLOOKUP($C117,CapRate,23),0)&gt;10,AG117/VLOOKUP($C117,CapRate,23),10)</f>
        <v>67.949526813880126</v>
      </c>
      <c r="BH117" s="122">
        <f>IF(ROUND(AH117/VLOOKUP($C117,CapRate,24),0)&gt;10,AH117/VLOOKUP($C117,CapRate,24),10)</f>
        <v>69.658659924146647</v>
      </c>
      <c r="BI117" s="122">
        <f>IF(ROUND(AI117/VLOOKUP($C117,CapRate,25),0)&gt;10,AI117/VLOOKUP($C117,CapRate,25),10)</f>
        <v>71.329113924050631</v>
      </c>
      <c r="BJ117" s="122">
        <f>IF(ROUND(AJ117/VLOOKUP($C117,CapRate,26),0)&gt;10,AJ117/VLOOKUP($C117,CapRate,26),10)</f>
        <v>74.603174603174608</v>
      </c>
      <c r="BK117" s="75">
        <f t="shared" si="26"/>
        <v>4.5900761961099157E-2</v>
      </c>
      <c r="BL117" s="76"/>
      <c r="BM117" s="77">
        <f>BK117</f>
        <v>4.5900761961099157E-2</v>
      </c>
      <c r="BN117" s="77"/>
      <c r="BO117" s="77"/>
      <c r="BP117" s="77"/>
    </row>
    <row r="118" spans="1:68" ht="15.9" customHeight="1">
      <c r="A118" s="54"/>
      <c r="B118" s="22"/>
      <c r="C118" s="8" t="s">
        <v>88</v>
      </c>
      <c r="D118" s="23"/>
      <c r="E118" s="8" t="s">
        <v>85</v>
      </c>
      <c r="F118" s="188">
        <f>[1]AcreSummary!L38</f>
        <v>0</v>
      </c>
      <c r="G118" s="25"/>
      <c r="H118" s="117"/>
      <c r="I118" s="57"/>
      <c r="J118" s="58">
        <f>[1]Tame!D5</f>
        <v>10.33</v>
      </c>
      <c r="K118" s="80">
        <f>[1]Tame!E5</f>
        <v>9.7880000000000003</v>
      </c>
      <c r="L118" s="68">
        <f>[1]Tame!F5</f>
        <v>9.18</v>
      </c>
      <c r="M118" s="58">
        <f>[1]Tame!G5</f>
        <v>8.6280000000000001</v>
      </c>
      <c r="N118" s="81">
        <f>[1]Tame!H5</f>
        <v>7.96</v>
      </c>
      <c r="O118" s="62">
        <v>9.32</v>
      </c>
      <c r="P118" s="81">
        <f>[1]Tame!I5</f>
        <v>6.88</v>
      </c>
      <c r="Q118" s="82">
        <f>[1]Tame!J5</f>
        <v>6.35</v>
      </c>
      <c r="R118" s="83">
        <v>6.35</v>
      </c>
      <c r="S118" s="84">
        <f>[1]Tame!K5</f>
        <v>5.22</v>
      </c>
      <c r="T118" s="66">
        <f>[1]Tame!L5</f>
        <v>3.12</v>
      </c>
      <c r="U118" s="67">
        <f>[1]Tame!M5</f>
        <v>2.86</v>
      </c>
      <c r="V118" s="68">
        <f>[1]Tame!N5</f>
        <v>0.36</v>
      </c>
      <c r="W118" s="68">
        <f>[1]Tame!O5</f>
        <v>-0.54</v>
      </c>
      <c r="X118" s="68">
        <v>-0.36</v>
      </c>
      <c r="Y118" s="68">
        <v>-0.14000000000000001</v>
      </c>
      <c r="Z118" s="68">
        <v>-0.67</v>
      </c>
      <c r="AA118" s="68">
        <v>-0.56000000000000005</v>
      </c>
      <c r="AB118" s="68">
        <v>-0.46</v>
      </c>
      <c r="AC118" s="68">
        <v>0.98</v>
      </c>
      <c r="AD118" s="68">
        <v>0</v>
      </c>
      <c r="AE118" s="68">
        <v>0</v>
      </c>
      <c r="AF118" s="68">
        <v>0</v>
      </c>
      <c r="AG118" s="69">
        <v>0</v>
      </c>
      <c r="AH118" s="70">
        <v>0</v>
      </c>
      <c r="AI118" s="70">
        <v>0</v>
      </c>
      <c r="AJ118" s="70">
        <v>0</v>
      </c>
      <c r="AK118" s="8">
        <f>ROUND(J118/VLOOKUP($C118,CapRate,2),0)</f>
        <v>68</v>
      </c>
      <c r="AL118" s="8">
        <f>ROUND(K118/VLOOKUP($C118,CapRate,3),0)</f>
        <v>64</v>
      </c>
      <c r="AM118" s="85">
        <f>ROUND(L118/VLOOKUP($C118,CapRate,4),0)</f>
        <v>60</v>
      </c>
      <c r="AN118" s="23">
        <f>ROUND(M118/VLOOKUP($C118,CapRate,5),0)</f>
        <v>57</v>
      </c>
      <c r="AO118" s="85">
        <f t="shared" si="17"/>
        <v>65</v>
      </c>
      <c r="AP118" s="72">
        <f t="shared" si="18"/>
        <v>48</v>
      </c>
      <c r="AQ118" s="71">
        <f t="shared" si="23"/>
        <v>44</v>
      </c>
      <c r="AR118" s="71">
        <f t="shared" si="23"/>
        <v>44</v>
      </c>
      <c r="AS118" s="71">
        <f t="shared" si="27"/>
        <v>36</v>
      </c>
      <c r="AT118" s="71">
        <f t="shared" si="28"/>
        <v>22</v>
      </c>
      <c r="AU118" s="71">
        <f t="shared" si="24"/>
        <v>20</v>
      </c>
      <c r="AV118" s="72">
        <f>IF(ROUND(V118/VLOOKUP($C118,CapRate,12),0)&gt;AV117,V118/VLOOKUP($C118,CapRate,12),AV117)</f>
        <v>26</v>
      </c>
      <c r="AW118" s="72">
        <f>IF(ROUND(W118/VLOOKUP($C118,CapRate,13),0)&gt;AW117,W118/VLOOKUP($C118,CapRate,13),AW117)</f>
        <v>20.721311475409838</v>
      </c>
      <c r="AX118" s="72">
        <f>IF(ROUND(X118/VLOOKUP($C118,CapRate,14),0)&gt;AX117,X118/VLOOKUP($C118,CapRate,14),AX117)</f>
        <v>21.503267973856211</v>
      </c>
      <c r="AY118" s="72">
        <f>IF(ROUND(Y118/VLOOKUP($C118,CapRate,15),0)&gt;AY117,Y118/VLOOKUP($C118,CapRate,15),AY117)</f>
        <v>21.497740477727564</v>
      </c>
      <c r="AZ118" s="72">
        <f>IF(ROUND(Z118/VLOOKUP($C118,CapRate,16),0)&gt;AZ117,Z118/VLOOKUP($C118,CapRate,16),AZ117)</f>
        <v>27.348777348777347</v>
      </c>
      <c r="BA118" s="72">
        <f>IF(ROUND(AA118/VLOOKUP($C118,CapRate,17),0)&gt;BA117,AA118/VLOOKUP($C118,CapRate,17),BA117)</f>
        <v>33.057324840764331</v>
      </c>
      <c r="BB118" s="72">
        <f>IF(ROUND(AB118/VLOOKUP($C118,CapRate,18),0)&gt;BB117,AB118/VLOOKUP($C118,CapRate,18),BB117)</f>
        <v>39.936507936507937</v>
      </c>
      <c r="BC118" s="72">
        <f>IF(ROUND(AC118/VLOOKUP($C118,CapRate,19),0)&gt;BC117,AC118/VLOOKUP($C118,CapRate,19),BC117)</f>
        <v>47.405063291139243</v>
      </c>
      <c r="BD118" s="72">
        <f>IF(ROUND(AD118/VLOOKUP($C118,CapRate,20),0)&gt;BD117,AD118/VLOOKUP($C118,CapRate,20),BD117)</f>
        <v>54.264055590650663</v>
      </c>
      <c r="BE118" s="72">
        <f>IF(ROUND(AE118/VLOOKUP($C118,CapRate,21),0)&gt;BE117,AE118/VLOOKUP($C118,CapRate,21),BE117)</f>
        <v>61.805555555555543</v>
      </c>
      <c r="BF118" s="72">
        <f>IF(ROUND(AF118/VLOOKUP($C118,CapRate,22),0)&gt;BF117,AF118/VLOOKUP($C118,CapRate,22),BF117)</f>
        <v>64.479495268138805</v>
      </c>
      <c r="BG118" s="72">
        <f>IF(ROUND(AG118/VLOOKUP($C118,CapRate,23),0)&gt;BG117,AG118/VLOOKUP($C118,CapRate,23),BG117)</f>
        <v>67.949526813880126</v>
      </c>
      <c r="BH118" s="72">
        <f>IF(ROUND(AH118/VLOOKUP($C118,CapRate,24),0)&gt;BH117,AH118/VLOOKUP($C118,CapRate,24),BH117)</f>
        <v>69.658659924146647</v>
      </c>
      <c r="BI118" s="72">
        <f>IF(ROUND(AI118/VLOOKUP($C118,CapRate,25),0)&gt;BI117,AI118/VLOOKUP($C118,CapRate,25),BI117)</f>
        <v>71.329113924050631</v>
      </c>
      <c r="BJ118" s="72">
        <f>IF(ROUND(AJ118/VLOOKUP($C118,CapRate,26),0)&gt;BJ117,AJ118/VLOOKUP($C118,CapRate,26),BJ117)</f>
        <v>74.603174603174608</v>
      </c>
      <c r="BK118" s="87">
        <f t="shared" si="26"/>
        <v>4.5900761961099157E-2</v>
      </c>
      <c r="BL118" s="76"/>
      <c r="BM118" s="77"/>
      <c r="BN118" s="77"/>
      <c r="BO118" s="77"/>
      <c r="BP118" s="77">
        <f>BK118</f>
        <v>4.5900761961099157E-2</v>
      </c>
    </row>
    <row r="119" spans="1:68" ht="15.9" customHeight="1">
      <c r="A119" s="54">
        <v>40</v>
      </c>
      <c r="B119" s="22"/>
      <c r="C119" s="8" t="s">
        <v>88</v>
      </c>
      <c r="D119" s="23"/>
      <c r="E119" s="8" t="s">
        <v>40</v>
      </c>
      <c r="F119" s="188">
        <f>[1]AcreSummary!J38</f>
        <v>0.69338999160418135</v>
      </c>
      <c r="G119" s="25"/>
      <c r="H119" s="117"/>
      <c r="I119" s="57">
        <f>[1]Dry!E38</f>
        <v>18.59</v>
      </c>
      <c r="J119" s="58">
        <f>[1]Dry!F38</f>
        <v>18.059999999999999</v>
      </c>
      <c r="K119" s="80">
        <f>[1]Dry!G38</f>
        <v>18.329999999999998</v>
      </c>
      <c r="L119" s="68">
        <f>[1]Dry!H38</f>
        <v>19.28</v>
      </c>
      <c r="M119" s="58">
        <f>[1]Dry!I38</f>
        <v>20.59</v>
      </c>
      <c r="N119" s="81">
        <f>[1]Dry!J38</f>
        <v>22.19</v>
      </c>
      <c r="O119" s="62">
        <v>22.21</v>
      </c>
      <c r="P119" s="81">
        <f>[1]Dry!K38</f>
        <v>23.59</v>
      </c>
      <c r="Q119" s="82">
        <f>[1]Dry!L38</f>
        <v>25.12</v>
      </c>
      <c r="R119" s="83">
        <f>Q119*0.95</f>
        <v>23.864000000000001</v>
      </c>
      <c r="S119" s="84">
        <f>[1]Dry!N38</f>
        <v>26.16</v>
      </c>
      <c r="T119" s="66">
        <f>[1]Dry!O38</f>
        <v>26.96</v>
      </c>
      <c r="U119" s="67">
        <f>[1]Dry!P38</f>
        <v>27.09</v>
      </c>
      <c r="V119" s="68">
        <f>[1]Dry!Q38</f>
        <v>25.46</v>
      </c>
      <c r="W119" s="68">
        <f>[1]Dry!R38</f>
        <v>28.06</v>
      </c>
      <c r="X119" s="68">
        <f>[1]Dry!S38</f>
        <v>31.03</v>
      </c>
      <c r="Y119" s="68">
        <f>[1]Dry!T38</f>
        <v>35.42</v>
      </c>
      <c r="Z119" s="68">
        <v>40.22</v>
      </c>
      <c r="AA119" s="68">
        <v>45.21</v>
      </c>
      <c r="AB119" s="68">
        <v>51.75</v>
      </c>
      <c r="AC119" s="68">
        <v>57.53</v>
      </c>
      <c r="AD119" s="68">
        <v>61.15</v>
      </c>
      <c r="AE119" s="68">
        <v>63.21</v>
      </c>
      <c r="AF119" s="68">
        <v>62.17</v>
      </c>
      <c r="AG119" s="69">
        <v>60.07</v>
      </c>
      <c r="AH119" s="70">
        <v>55.1</v>
      </c>
      <c r="AI119" s="70">
        <v>47.18</v>
      </c>
      <c r="AJ119" s="70">
        <v>40.909999999999997</v>
      </c>
      <c r="AK119" s="8">
        <f t="shared" si="19"/>
        <v>118</v>
      </c>
      <c r="AL119" s="8">
        <f t="shared" si="20"/>
        <v>120</v>
      </c>
      <c r="AM119" s="85">
        <f t="shared" si="21"/>
        <v>125</v>
      </c>
      <c r="AN119" s="23">
        <f t="shared" si="22"/>
        <v>137</v>
      </c>
      <c r="AO119" s="85">
        <f t="shared" si="17"/>
        <v>154</v>
      </c>
      <c r="AP119" s="72">
        <f t="shared" si="18"/>
        <v>166</v>
      </c>
      <c r="AQ119" s="71">
        <f t="shared" si="23"/>
        <v>176</v>
      </c>
      <c r="AR119" s="71">
        <f t="shared" si="23"/>
        <v>167</v>
      </c>
      <c r="AS119" s="71">
        <f t="shared" si="27"/>
        <v>183</v>
      </c>
      <c r="AT119" s="71">
        <f t="shared" si="28"/>
        <v>188</v>
      </c>
      <c r="AU119" s="71">
        <f t="shared" si="24"/>
        <v>188</v>
      </c>
      <c r="AV119" s="72">
        <f t="shared" si="25"/>
        <v>168</v>
      </c>
      <c r="AW119" s="72">
        <f>ROUND(W119/VLOOKUP($C119,CapRate,13),0)</f>
        <v>184</v>
      </c>
      <c r="AX119" s="72">
        <f>ROUND(X119/VLOOKUP($C119,CapRate,14),0)</f>
        <v>203</v>
      </c>
      <c r="AY119" s="72">
        <f>ROUND(Y119/VLOOKUP($C119,CapRate,15),0)</f>
        <v>229</v>
      </c>
      <c r="AZ119" s="72">
        <f>ROUND(Z119/VLOOKUP($C119,CapRate,16),0)</f>
        <v>259</v>
      </c>
      <c r="BA119" s="72">
        <f>ROUND(AA119/VLOOKUP($C119,CapRate,17),0)</f>
        <v>288</v>
      </c>
      <c r="BB119" s="72">
        <f>ROUND(AB119/VLOOKUP($C119,CapRate,18),0)</f>
        <v>329</v>
      </c>
      <c r="BC119" s="72">
        <f>ROUND(AC119/VLOOKUP($C119,CapRate,19),0)</f>
        <v>364</v>
      </c>
      <c r="BD119" s="72">
        <f>ROUND(AD119/VLOOKUP($C119,CapRate,20),0)</f>
        <v>386</v>
      </c>
      <c r="BE119" s="72">
        <f>ROUND(AE119/VLOOKUP($C119,CapRate,21),0)</f>
        <v>399</v>
      </c>
      <c r="BF119" s="72">
        <f>ROUND(AF119/VLOOKUP($C119,CapRate,22),0)</f>
        <v>392</v>
      </c>
      <c r="BG119" s="72">
        <f>ROUND(AG119/VLOOKUP($C119,CapRate,23),0)</f>
        <v>379</v>
      </c>
      <c r="BH119" s="72">
        <f>ROUND(AH119/VLOOKUP($C119,CapRate,24),0)</f>
        <v>348</v>
      </c>
      <c r="BI119" s="72">
        <f>ROUND(AI119/VLOOKUP($C119,CapRate,25),0)</f>
        <v>299</v>
      </c>
      <c r="BJ119" s="72">
        <f>ROUND(AJ119/VLOOKUP($C119,CapRate,26),0)</f>
        <v>260</v>
      </c>
      <c r="BK119" s="87">
        <f t="shared" si="26"/>
        <v>-0.13043478260869568</v>
      </c>
      <c r="BL119" s="76"/>
      <c r="BM119" s="77"/>
      <c r="BN119" s="77">
        <f>BK119</f>
        <v>-0.13043478260869568</v>
      </c>
      <c r="BO119" s="77"/>
      <c r="BP119" s="77"/>
    </row>
    <row r="120" spans="1:68" ht="15.9" customHeight="1" thickBot="1">
      <c r="A120" s="54">
        <v>40</v>
      </c>
      <c r="B120" s="22"/>
      <c r="C120" s="90" t="s">
        <v>88</v>
      </c>
      <c r="D120" s="91"/>
      <c r="E120" s="90" t="s">
        <v>41</v>
      </c>
      <c r="F120" s="190">
        <f>[1]AcreSummary!K38</f>
        <v>1.9146427948305105E-2</v>
      </c>
      <c r="G120" s="191">
        <f>[1]Irrigated!D45</f>
        <v>100</v>
      </c>
      <c r="H120" s="94">
        <f>[1]Irrigated!E45</f>
        <v>1</v>
      </c>
      <c r="I120" s="95"/>
      <c r="J120" s="96">
        <f>[1]Irrigated!H45</f>
        <v>60.02</v>
      </c>
      <c r="K120" s="97">
        <f>[1]Irrigated!I45</f>
        <v>59.96</v>
      </c>
      <c r="L120" s="98">
        <f>[1]Irrigated!J45</f>
        <v>58.95</v>
      </c>
      <c r="M120" s="96">
        <f>[1]Irrigated!K45</f>
        <v>58.06</v>
      </c>
      <c r="N120" s="99">
        <f>[1]Irrigated!L45</f>
        <v>59.09</v>
      </c>
      <c r="O120" s="100">
        <v>52.87</v>
      </c>
      <c r="P120" s="99">
        <f>[1]Irrigated!M45</f>
        <v>57.95</v>
      </c>
      <c r="Q120" s="101">
        <f>[1]Irrigated!N45</f>
        <v>54.76</v>
      </c>
      <c r="R120" s="102">
        <v>54.76</v>
      </c>
      <c r="S120" s="103">
        <f>[1]Irrigated!O45</f>
        <v>52.02</v>
      </c>
      <c r="T120" s="104">
        <f>[1]Irrigated!P45</f>
        <v>51.36</v>
      </c>
      <c r="U120" s="105">
        <f>[1]Irrigated!Q45</f>
        <v>49.35</v>
      </c>
      <c r="V120" s="98">
        <f>[1]Irrigated!R45</f>
        <v>51.28</v>
      </c>
      <c r="W120" s="98">
        <f>[1]Irrigated!S45</f>
        <v>58.66</v>
      </c>
      <c r="X120" s="98">
        <v>67.760000000000005</v>
      </c>
      <c r="Y120" s="98">
        <v>80.83</v>
      </c>
      <c r="Z120" s="98">
        <v>95.08</v>
      </c>
      <c r="AA120" s="98">
        <v>107.07</v>
      </c>
      <c r="AB120" s="98">
        <v>122.66</v>
      </c>
      <c r="AC120" s="98">
        <v>133.58000000000001</v>
      </c>
      <c r="AD120" s="98">
        <v>138.88</v>
      </c>
      <c r="AE120" s="98">
        <v>141.93</v>
      </c>
      <c r="AF120" s="98">
        <v>140.51</v>
      </c>
      <c r="AG120" s="106">
        <v>134.85</v>
      </c>
      <c r="AH120" s="107">
        <v>117.17</v>
      </c>
      <c r="AI120" s="107">
        <v>91.87</v>
      </c>
      <c r="AJ120" s="107">
        <v>69.959999999999994</v>
      </c>
      <c r="AK120" s="90">
        <f t="shared" si="19"/>
        <v>393</v>
      </c>
      <c r="AL120" s="90">
        <f t="shared" si="20"/>
        <v>393</v>
      </c>
      <c r="AM120" s="108">
        <f t="shared" si="21"/>
        <v>383</v>
      </c>
      <c r="AN120" s="91">
        <f t="shared" si="22"/>
        <v>385</v>
      </c>
      <c r="AO120" s="108">
        <f t="shared" si="17"/>
        <v>366</v>
      </c>
      <c r="AP120" s="109">
        <f t="shared" si="18"/>
        <v>407</v>
      </c>
      <c r="AQ120" s="110">
        <f t="shared" si="23"/>
        <v>383</v>
      </c>
      <c r="AR120" s="110">
        <f t="shared" si="23"/>
        <v>383</v>
      </c>
      <c r="AS120" s="110">
        <f t="shared" si="27"/>
        <v>363</v>
      </c>
      <c r="AT120" s="110">
        <f t="shared" si="28"/>
        <v>358</v>
      </c>
      <c r="AU120" s="110">
        <f t="shared" si="24"/>
        <v>342</v>
      </c>
      <c r="AV120" s="109">
        <f t="shared" si="25"/>
        <v>339</v>
      </c>
      <c r="AW120" s="109">
        <f>ROUND(W120/VLOOKUP($C120,CapRate,13),0)</f>
        <v>385</v>
      </c>
      <c r="AX120" s="109">
        <f>ROUND(X120/VLOOKUP($C120,CapRate,14),0)</f>
        <v>443</v>
      </c>
      <c r="AY120" s="109">
        <f>ROUND(Y120/VLOOKUP($C120,CapRate,15),0)</f>
        <v>522</v>
      </c>
      <c r="AZ120" s="109">
        <f>ROUND(Z120/VLOOKUP($C120,CapRate,16),0)</f>
        <v>612</v>
      </c>
      <c r="BA120" s="109">
        <f>ROUND(AA120/VLOOKUP($C120,CapRate,17),0)</f>
        <v>682</v>
      </c>
      <c r="BB120" s="109">
        <f>ROUND(AB120/VLOOKUP($C120,CapRate,18),0)</f>
        <v>779</v>
      </c>
      <c r="BC120" s="109">
        <f>ROUND(AC120/VLOOKUP($C120,CapRate,19),0)</f>
        <v>845</v>
      </c>
      <c r="BD120" s="109">
        <f>ROUND(AD120/VLOOKUP($C120,CapRate,20),0)</f>
        <v>877</v>
      </c>
      <c r="BE120" s="109">
        <f>ROUND(AE120/VLOOKUP($C120,CapRate,21),0)</f>
        <v>896</v>
      </c>
      <c r="BF120" s="109">
        <f>ROUND(AF120/VLOOKUP($C120,CapRate,22),0)</f>
        <v>886</v>
      </c>
      <c r="BG120" s="109">
        <f>ROUND(AG120/VLOOKUP($C120,CapRate,23),0)</f>
        <v>851</v>
      </c>
      <c r="BH120" s="109">
        <f>ROUND(AH120/VLOOKUP($C120,CapRate,24),0)</f>
        <v>741</v>
      </c>
      <c r="BI120" s="109">
        <f>ROUND(AI120/VLOOKUP($C120,CapRate,25),0)</f>
        <v>581</v>
      </c>
      <c r="BJ120" s="109">
        <f>ROUND(AJ120/VLOOKUP($C120,CapRate,26),0)</f>
        <v>444</v>
      </c>
      <c r="BK120" s="193">
        <f t="shared" si="26"/>
        <v>-0.23580034423407914</v>
      </c>
      <c r="BL120" s="114">
        <f>((F117*BK117)+(F118*BK118)+(F119*BK119)+(F120*BK120))</f>
        <v>-8.1762109740393454E-2</v>
      </c>
      <c r="BM120" s="120"/>
      <c r="BN120" s="115"/>
      <c r="BO120" s="115">
        <f>BK120</f>
        <v>-0.23580034423407914</v>
      </c>
      <c r="BP120" s="115"/>
    </row>
    <row r="121" spans="1:68" ht="15.9" customHeight="1" thickTop="1">
      <c r="A121" s="54">
        <v>40</v>
      </c>
      <c r="B121" s="22"/>
      <c r="C121" s="8" t="s">
        <v>89</v>
      </c>
      <c r="D121" s="23" t="s">
        <v>89</v>
      </c>
      <c r="E121" s="8" t="s">
        <v>39</v>
      </c>
      <c r="F121" s="188">
        <f>[1]AcreSummary!M39</f>
        <v>0.45961036917649811</v>
      </c>
      <c r="G121" s="25"/>
      <c r="H121" s="117"/>
      <c r="I121" s="57">
        <f>[1]Native!E37</f>
        <v>5.68</v>
      </c>
      <c r="J121" s="58">
        <f>[1]Native!F37</f>
        <v>5.9969999999999999</v>
      </c>
      <c r="K121" s="80">
        <f>[1]Native!G37</f>
        <v>6.3330000000000002</v>
      </c>
      <c r="L121" s="68">
        <f>[1]Native!H37</f>
        <v>6.5030000000000001</v>
      </c>
      <c r="M121" s="58">
        <f>[1]Native!I37</f>
        <v>6.7160000000000002</v>
      </c>
      <c r="N121" s="81">
        <f>[1]Native!J37</f>
        <v>6.89</v>
      </c>
      <c r="O121" s="62">
        <v>6.88</v>
      </c>
      <c r="P121" s="81">
        <f>[1]Native!K37</f>
        <v>6.88</v>
      </c>
      <c r="Q121" s="82">
        <f>[1]Native!L37</f>
        <v>6.74</v>
      </c>
      <c r="R121" s="83">
        <v>6.74</v>
      </c>
      <c r="S121" s="84">
        <f>[1]Native!M37</f>
        <v>6.67</v>
      </c>
      <c r="T121" s="66">
        <f>[1]Native!N37</f>
        <v>6.49</v>
      </c>
      <c r="U121" s="67">
        <f>[1]Native!O37</f>
        <v>5.66</v>
      </c>
      <c r="V121" s="68">
        <f>[1]Native!P37</f>
        <v>2.4300000000000002</v>
      </c>
      <c r="W121" s="68">
        <f>[1]Native!Q37</f>
        <v>1.82</v>
      </c>
      <c r="X121" s="68">
        <v>1.97</v>
      </c>
      <c r="Y121" s="68">
        <v>2.14</v>
      </c>
      <c r="Z121" s="68">
        <v>3.18</v>
      </c>
      <c r="AA121" s="68">
        <v>4.25</v>
      </c>
      <c r="AB121" s="68">
        <v>5.32</v>
      </c>
      <c r="AC121" s="68">
        <v>6.37</v>
      </c>
      <c r="AD121" s="68">
        <v>7.44</v>
      </c>
      <c r="AE121" s="68">
        <v>8.6</v>
      </c>
      <c r="AF121" s="68">
        <v>8.99</v>
      </c>
      <c r="AG121" s="69">
        <v>9.5</v>
      </c>
      <c r="AH121" s="70">
        <v>9.7200000000000006</v>
      </c>
      <c r="AI121" s="70">
        <v>9.94</v>
      </c>
      <c r="AJ121" s="70">
        <v>10.48</v>
      </c>
      <c r="AK121" s="8">
        <f t="shared" si="19"/>
        <v>40</v>
      </c>
      <c r="AL121" s="8">
        <f t="shared" si="20"/>
        <v>42</v>
      </c>
      <c r="AM121" s="85">
        <f t="shared" si="21"/>
        <v>42</v>
      </c>
      <c r="AN121" s="23">
        <f t="shared" si="22"/>
        <v>44</v>
      </c>
      <c r="AO121" s="85">
        <f t="shared" si="17"/>
        <v>47</v>
      </c>
      <c r="AP121" s="72">
        <f t="shared" si="18"/>
        <v>48</v>
      </c>
      <c r="AQ121" s="71">
        <f t="shared" si="23"/>
        <v>47</v>
      </c>
      <c r="AR121" s="71">
        <f t="shared" si="23"/>
        <v>47</v>
      </c>
      <c r="AS121" s="71">
        <f t="shared" si="27"/>
        <v>46</v>
      </c>
      <c r="AT121" s="71">
        <f t="shared" si="28"/>
        <v>45</v>
      </c>
      <c r="AU121" s="71">
        <f t="shared" si="24"/>
        <v>39</v>
      </c>
      <c r="AV121" s="72">
        <f t="shared" si="25"/>
        <v>16</v>
      </c>
      <c r="AW121" s="122">
        <f>IF(ROUND(W121/VLOOKUP($C121,CapRate,13),0)&gt;10,W121/VLOOKUP($C121,CapRate,13),10)</f>
        <v>11.864406779661017</v>
      </c>
      <c r="AX121" s="122">
        <f>IF(ROUND(X121/VLOOKUP($C121,CapRate,14),0)&gt;10,X121/VLOOKUP($C121,CapRate,14),10)</f>
        <v>12.825520833333334</v>
      </c>
      <c r="AY121" s="122">
        <f>IF(ROUND(Y121/VLOOKUP($C121,CapRate,15),0)&gt;10,Y121/VLOOKUP($C121,CapRate,15),10)</f>
        <v>13.878080415045396</v>
      </c>
      <c r="AZ121" s="122">
        <f>IF(ROUND(Z121/VLOOKUP($C121,CapRate,16),0)&gt;10,Z121/VLOOKUP($C121,CapRate,16),10)</f>
        <v>20.595854922279791</v>
      </c>
      <c r="BA121" s="122">
        <f>IF(ROUND(AA121/VLOOKUP($C121,CapRate,17),0)&gt;10,AA121/VLOOKUP($C121,CapRate,17),10)</f>
        <v>27.419354838709676</v>
      </c>
      <c r="BB121" s="122">
        <f>IF(ROUND(AB121/VLOOKUP($C121,CapRate,18),0)&gt;10,AB121/VLOOKUP($C121,CapRate,18),10)</f>
        <v>34.30045132172792</v>
      </c>
      <c r="BC121" s="122">
        <f>IF(ROUND(AC121/VLOOKUP($C121,CapRate,19),0)&gt;10,AC121/VLOOKUP($C121,CapRate,19),10)</f>
        <v>40.964630225080384</v>
      </c>
      <c r="BD121" s="122">
        <f>IF(ROUND(AD121/VLOOKUP($C121,CapRate,20),0)&gt;10,AD121/VLOOKUP($C121,CapRate,20),10)</f>
        <v>47.907276239536387</v>
      </c>
      <c r="BE121" s="122">
        <f>IF(ROUND(AE121/VLOOKUP($C121,CapRate,21),0)&gt;10,AE121/VLOOKUP($C121,CapRate,21),10)</f>
        <v>55.341055341055338</v>
      </c>
      <c r="BF121" s="122">
        <f>IF(ROUND(AF121/VLOOKUP($C121,CapRate,22),0)&gt;10,AF121/VLOOKUP($C121,CapRate,22),10)</f>
        <v>57.850707850707849</v>
      </c>
      <c r="BG121" s="122">
        <f>IF(ROUND(AG121/VLOOKUP($C121,CapRate,23),0)&gt;10,AG121/VLOOKUP($C121,CapRate,23),10)</f>
        <v>61.09324758842444</v>
      </c>
      <c r="BH121" s="122">
        <f>IF(ROUND(AH121/VLOOKUP($C121,CapRate,24),0)&gt;10,AH121/VLOOKUP($C121,CapRate,24),10)</f>
        <v>62.508038585209007</v>
      </c>
      <c r="BI121" s="122">
        <f>IF(ROUND(AI121/VLOOKUP($C121,CapRate,25),0)&gt;10,AI121/VLOOKUP($C121,CapRate,25),10)</f>
        <v>64.00515132002576</v>
      </c>
      <c r="BJ121" s="122">
        <f>IF(ROUND(AJ121/VLOOKUP($C121,CapRate,26),0)&gt;10,AJ121/VLOOKUP($C121,CapRate,26),10)</f>
        <v>67.656552614590055</v>
      </c>
      <c r="BK121" s="75">
        <f t="shared" si="26"/>
        <v>5.7048553425134374E-2</v>
      </c>
      <c r="BL121" s="76"/>
      <c r="BM121" s="77">
        <f>BK121</f>
        <v>5.7048553425134374E-2</v>
      </c>
      <c r="BN121" s="77"/>
      <c r="BO121" s="77"/>
      <c r="BP121" s="77"/>
    </row>
    <row r="122" spans="1:68" ht="15.9" customHeight="1">
      <c r="A122" s="54"/>
      <c r="B122" s="22"/>
      <c r="C122" s="8" t="s">
        <v>89</v>
      </c>
      <c r="D122" s="23"/>
      <c r="E122" s="8" t="s">
        <v>85</v>
      </c>
      <c r="F122" s="188">
        <f>[1]AcreSummary!L39</f>
        <v>1.2406491695879541E-5</v>
      </c>
      <c r="G122" s="25"/>
      <c r="H122" s="117"/>
      <c r="I122" s="57"/>
      <c r="J122" s="58">
        <f>[1]Tame!D6</f>
        <v>7.9539999999999997</v>
      </c>
      <c r="K122" s="80">
        <f>[1]Tame!E6</f>
        <v>7.2</v>
      </c>
      <c r="L122" s="68">
        <f>[1]Tame!F6</f>
        <v>6.359</v>
      </c>
      <c r="M122" s="58">
        <f>[1]Tame!G6</f>
        <v>5.54</v>
      </c>
      <c r="N122" s="81">
        <f>[1]Tame!H6</f>
        <v>4.6100000000000003</v>
      </c>
      <c r="O122" s="62">
        <v>7.23</v>
      </c>
      <c r="P122" s="81">
        <f>[1]Tame!I6</f>
        <v>3.42</v>
      </c>
      <c r="Q122" s="82">
        <f>[1]Tame!J6</f>
        <v>2.87</v>
      </c>
      <c r="R122" s="83">
        <v>2.87</v>
      </c>
      <c r="S122" s="84">
        <f>[1]Tame!K6</f>
        <v>1.67</v>
      </c>
      <c r="T122" s="66">
        <f>[1]Tame!L6</f>
        <v>-0.62</v>
      </c>
      <c r="U122" s="67">
        <f>[1]Tame!M6</f>
        <v>-0.9</v>
      </c>
      <c r="V122" s="68">
        <f>[1]Tame!N6</f>
        <v>-3.2</v>
      </c>
      <c r="W122" s="68">
        <f>[1]Tame!O6</f>
        <v>-4.41</v>
      </c>
      <c r="X122" s="68">
        <v>-4.53</v>
      </c>
      <c r="Y122" s="68">
        <v>-4.5999999999999996</v>
      </c>
      <c r="Z122" s="68">
        <v>-5.17</v>
      </c>
      <c r="AA122" s="68">
        <v>-5.03</v>
      </c>
      <c r="AB122" s="68">
        <v>-4.99</v>
      </c>
      <c r="AC122" s="68">
        <v>-4.01</v>
      </c>
      <c r="AD122" s="68">
        <v>-1.97</v>
      </c>
      <c r="AE122" s="68">
        <v>-0.15</v>
      </c>
      <c r="AF122" s="68">
        <v>0.57999999999999996</v>
      </c>
      <c r="AG122" s="69">
        <v>1.39</v>
      </c>
      <c r="AH122" s="70">
        <v>2.72</v>
      </c>
      <c r="AI122" s="70">
        <v>3.14</v>
      </c>
      <c r="AJ122" s="70">
        <v>2.57</v>
      </c>
      <c r="AK122" s="8">
        <f>ROUND(J122/VLOOKUP($C122,CapRate,2),0)</f>
        <v>53</v>
      </c>
      <c r="AL122" s="8">
        <f>ROUND(K122/VLOOKUP($C122,CapRate,3),0)</f>
        <v>47</v>
      </c>
      <c r="AM122" s="85">
        <f>ROUND(L122/VLOOKUP($C122,CapRate,4),0)</f>
        <v>41</v>
      </c>
      <c r="AN122" s="23">
        <f>ROUND(M122/VLOOKUP($C122,CapRate,5),0)</f>
        <v>37</v>
      </c>
      <c r="AO122" s="85">
        <f t="shared" si="17"/>
        <v>50</v>
      </c>
      <c r="AP122" s="72">
        <f t="shared" si="18"/>
        <v>24</v>
      </c>
      <c r="AQ122" s="71">
        <f t="shared" si="23"/>
        <v>20</v>
      </c>
      <c r="AR122" s="71">
        <f t="shared" si="23"/>
        <v>20</v>
      </c>
      <c r="AS122" s="71">
        <v>0</v>
      </c>
      <c r="AT122" s="71">
        <v>0</v>
      </c>
      <c r="AU122" s="71">
        <v>0</v>
      </c>
      <c r="AV122" s="72">
        <f>IF(ROUND(V122/VLOOKUP($C122,CapRate,12),0)&gt;AV121,V122/VLOOKUP($C122,CapRate,12),AV121)</f>
        <v>16</v>
      </c>
      <c r="AW122" s="72">
        <f>IF(ROUND(W122/VLOOKUP($C122,CapRate,13),0)&gt;AW121,W122/VLOOKUP($C122,CapRate,13),AW121)</f>
        <v>11.864406779661017</v>
      </c>
      <c r="AX122" s="72">
        <f>IF(ROUND(X122/VLOOKUP($C122,CapRate,14),0)&gt;AX121,X122/VLOOKUP($C122,CapRate,14),AX121)</f>
        <v>12.825520833333334</v>
      </c>
      <c r="AY122" s="72">
        <f>IF(ROUND(Y122/VLOOKUP($C122,CapRate,15),0)&gt;AY121,Y122/VLOOKUP($C122,CapRate,15),AY121)</f>
        <v>13.878080415045396</v>
      </c>
      <c r="AZ122" s="72">
        <f>IF(ROUND(Z122/VLOOKUP($C122,CapRate,16),0)&gt;AZ121,Z122/VLOOKUP($C122,CapRate,16),AZ121)</f>
        <v>20.595854922279791</v>
      </c>
      <c r="BA122" s="72">
        <f>IF(ROUND(AA122/VLOOKUP($C122,CapRate,17),0)&gt;BA121,AA122/VLOOKUP($C122,CapRate,17),BA121)</f>
        <v>27.419354838709676</v>
      </c>
      <c r="BB122" s="72">
        <f>IF(ROUND(AB122/VLOOKUP($C122,CapRate,18),0)&gt;BB121,AB122/VLOOKUP($C122,CapRate,18),BB121)</f>
        <v>34.30045132172792</v>
      </c>
      <c r="BC122" s="72">
        <f>IF(ROUND(AC122/VLOOKUP($C122,CapRate,19),0)&gt;BC121,AC122/VLOOKUP($C122,CapRate,19),BC121)</f>
        <v>40.964630225080384</v>
      </c>
      <c r="BD122" s="72">
        <f>IF(ROUND(AD122/VLOOKUP($C122,CapRate,20),0)&gt;BD121,AD122/VLOOKUP($C122,CapRate,20),BD121)</f>
        <v>47.907276239536387</v>
      </c>
      <c r="BE122" s="72">
        <f>IF(ROUND(AE122/VLOOKUP($C122,CapRate,21),0)&gt;BE121,AE122/VLOOKUP($C122,CapRate,21),BE121)</f>
        <v>55.341055341055338</v>
      </c>
      <c r="BF122" s="72">
        <f>IF(ROUND(AF122/VLOOKUP($C122,CapRate,22),0)&gt;BF121,AF122/VLOOKUP($C122,CapRate,22),BF121)</f>
        <v>57.850707850707849</v>
      </c>
      <c r="BG122" s="72">
        <f>IF(ROUND(AG122/VLOOKUP($C122,CapRate,23),0)&gt;BG121,AG122/VLOOKUP($C122,CapRate,23),BG121)</f>
        <v>61.09324758842444</v>
      </c>
      <c r="BH122" s="72">
        <f>IF(ROUND(AH122/VLOOKUP($C122,CapRate,24),0)&gt;BH121,AH122/VLOOKUP($C122,CapRate,24),BH121)</f>
        <v>62.508038585209007</v>
      </c>
      <c r="BI122" s="72">
        <f>IF(ROUND(AI122/VLOOKUP($C122,CapRate,25),0)&gt;BI121,AI122/VLOOKUP($C122,CapRate,25),BI121)</f>
        <v>64.00515132002576</v>
      </c>
      <c r="BJ122" s="72">
        <f>IF(ROUND(AJ122/VLOOKUP($C122,CapRate,26),0)&gt;BJ121,AJ122/VLOOKUP($C122,CapRate,26),BJ121)</f>
        <v>67.656552614590055</v>
      </c>
      <c r="BK122" s="87">
        <f t="shared" si="26"/>
        <v>5.7048553425134374E-2</v>
      </c>
      <c r="BL122" s="76"/>
      <c r="BM122" s="77"/>
      <c r="BN122" s="77"/>
      <c r="BO122" s="77"/>
      <c r="BP122" s="77">
        <f>BK122</f>
        <v>5.7048553425134374E-2</v>
      </c>
    </row>
    <row r="123" spans="1:68" ht="15.9" customHeight="1">
      <c r="A123" s="54">
        <v>40</v>
      </c>
      <c r="B123" s="22"/>
      <c r="C123" s="8" t="s">
        <v>89</v>
      </c>
      <c r="D123" s="23"/>
      <c r="E123" s="8" t="s">
        <v>40</v>
      </c>
      <c r="F123" s="188">
        <f>[1]AcreSummary!J39</f>
        <v>0.5213914206354926</v>
      </c>
      <c r="G123" s="25"/>
      <c r="H123" s="117"/>
      <c r="I123" s="57">
        <f>[1]Dry!E39</f>
        <v>14.65</v>
      </c>
      <c r="J123" s="58">
        <f>[1]Dry!F39</f>
        <v>13.94</v>
      </c>
      <c r="K123" s="80">
        <f>[1]Dry!G39</f>
        <v>14.01</v>
      </c>
      <c r="L123" s="68">
        <f>[1]Dry!H39</f>
        <v>14.65</v>
      </c>
      <c r="M123" s="58">
        <f>[1]Dry!I39</f>
        <v>15.62</v>
      </c>
      <c r="N123" s="81">
        <f>[1]Dry!J39</f>
        <v>16.82</v>
      </c>
      <c r="O123" s="62">
        <v>16.899999999999999</v>
      </c>
      <c r="P123" s="81">
        <f>[1]Dry!K39</f>
        <v>18.05</v>
      </c>
      <c r="Q123" s="82">
        <f>[1]Dry!L39</f>
        <v>19.47</v>
      </c>
      <c r="R123" s="83">
        <f>Q123*0.95</f>
        <v>18.496499999999997</v>
      </c>
      <c r="S123" s="84">
        <f>[1]Dry!N39</f>
        <v>20.239999999999998</v>
      </c>
      <c r="T123" s="66">
        <f>[1]Dry!O39</f>
        <v>20.83</v>
      </c>
      <c r="U123" s="67">
        <f>[1]Dry!P39</f>
        <v>20.91</v>
      </c>
      <c r="V123" s="68">
        <f>[1]Dry!Q39</f>
        <v>9.18</v>
      </c>
      <c r="W123" s="68">
        <f>[1]Dry!R39</f>
        <v>10.34</v>
      </c>
      <c r="X123" s="68">
        <f>[1]Dry!S39</f>
        <v>11.76</v>
      </c>
      <c r="Y123" s="68">
        <f>[1]Dry!T39</f>
        <v>13.86</v>
      </c>
      <c r="Z123" s="68">
        <v>16</v>
      </c>
      <c r="AA123" s="68">
        <v>18.32</v>
      </c>
      <c r="AB123" s="68">
        <v>21.02</v>
      </c>
      <c r="AC123" s="68">
        <v>23.05</v>
      </c>
      <c r="AD123" s="68">
        <v>24.62</v>
      </c>
      <c r="AE123" s="68">
        <v>25.48</v>
      </c>
      <c r="AF123" s="68">
        <v>24.97</v>
      </c>
      <c r="AG123" s="69">
        <v>23.8</v>
      </c>
      <c r="AH123" s="70">
        <v>21.58</v>
      </c>
      <c r="AI123" s="70">
        <v>36.770000000000003</v>
      </c>
      <c r="AJ123" s="70">
        <v>31.22</v>
      </c>
      <c r="AK123" s="8">
        <f t="shared" si="19"/>
        <v>92</v>
      </c>
      <c r="AL123" s="8">
        <f t="shared" si="20"/>
        <v>92</v>
      </c>
      <c r="AM123" s="85">
        <f t="shared" si="21"/>
        <v>95</v>
      </c>
      <c r="AN123" s="23">
        <f t="shared" si="22"/>
        <v>103</v>
      </c>
      <c r="AO123" s="85">
        <f t="shared" si="17"/>
        <v>116</v>
      </c>
      <c r="AP123" s="72">
        <f t="shared" si="18"/>
        <v>126</v>
      </c>
      <c r="AQ123" s="71">
        <f t="shared" si="23"/>
        <v>135</v>
      </c>
      <c r="AR123" s="71">
        <f t="shared" si="23"/>
        <v>128</v>
      </c>
      <c r="AS123" s="71">
        <f t="shared" si="27"/>
        <v>139</v>
      </c>
      <c r="AT123" s="71">
        <f t="shared" si="28"/>
        <v>143</v>
      </c>
      <c r="AU123" s="71">
        <f t="shared" si="24"/>
        <v>143</v>
      </c>
      <c r="AV123" s="72">
        <f t="shared" si="25"/>
        <v>60</v>
      </c>
      <c r="AW123" s="72">
        <f>ROUND(W123/VLOOKUP($C123,CapRate,13),0)</f>
        <v>67</v>
      </c>
      <c r="AX123" s="72">
        <f>ROUND(X123/VLOOKUP($C123,CapRate,14),0)</f>
        <v>77</v>
      </c>
      <c r="AY123" s="72">
        <f>ROUND(Y123/VLOOKUP($C123,CapRate,15),0)</f>
        <v>90</v>
      </c>
      <c r="AZ123" s="72">
        <f>ROUND(Z123/VLOOKUP($C123,CapRate,16),0)</f>
        <v>104</v>
      </c>
      <c r="BA123" s="72">
        <f>ROUND(AA123/VLOOKUP($C123,CapRate,17),0)</f>
        <v>118</v>
      </c>
      <c r="BB123" s="72">
        <f>ROUND(AB123/VLOOKUP($C123,CapRate,18),0)</f>
        <v>136</v>
      </c>
      <c r="BC123" s="72">
        <f>ROUND(AC123/VLOOKUP($C123,CapRate,19),0)</f>
        <v>148</v>
      </c>
      <c r="BD123" s="72">
        <f>ROUND(AD123/VLOOKUP($C123,CapRate,20),0)</f>
        <v>159</v>
      </c>
      <c r="BE123" s="72">
        <f>ROUND(AE123/VLOOKUP($C123,CapRate,21),0)</f>
        <v>164</v>
      </c>
      <c r="BF123" s="72">
        <f>ROUND(AF123/VLOOKUP($C123,CapRate,22),0)</f>
        <v>161</v>
      </c>
      <c r="BG123" s="72">
        <f>ROUND(AG123/VLOOKUP($C123,CapRate,23),0)</f>
        <v>153</v>
      </c>
      <c r="BH123" s="72">
        <f>ROUND(AH123/VLOOKUP($C123,CapRate,24),0)</f>
        <v>139</v>
      </c>
      <c r="BI123" s="72">
        <f>ROUND(AI123/VLOOKUP($C123,CapRate,25),0)</f>
        <v>237</v>
      </c>
      <c r="BJ123" s="72">
        <f>ROUND(AJ123/VLOOKUP($C123,CapRate,26),0)</f>
        <v>202</v>
      </c>
      <c r="BK123" s="87">
        <f t="shared" si="26"/>
        <v>-0.14767932489451474</v>
      </c>
      <c r="BL123" s="76"/>
      <c r="BM123" s="77"/>
      <c r="BN123" s="77">
        <f>BK123</f>
        <v>-0.14767932489451474</v>
      </c>
      <c r="BO123" s="77"/>
      <c r="BP123" s="77"/>
    </row>
    <row r="124" spans="1:68" ht="15.9" customHeight="1" thickBot="1">
      <c r="A124" s="54">
        <v>40</v>
      </c>
      <c r="B124" s="22"/>
      <c r="C124" s="90" t="s">
        <v>89</v>
      </c>
      <c r="D124" s="91"/>
      <c r="E124" s="90" t="s">
        <v>41</v>
      </c>
      <c r="F124" s="190">
        <f>[1]AcreSummary!K39</f>
        <v>1.8985803696313426E-2</v>
      </c>
      <c r="G124" s="191">
        <f>[1]Irrigated!D46</f>
        <v>100</v>
      </c>
      <c r="H124" s="94">
        <f>[1]Irrigated!E46</f>
        <v>1</v>
      </c>
      <c r="I124" s="95"/>
      <c r="J124" s="96">
        <f>[1]Irrigated!H46</f>
        <v>61.3</v>
      </c>
      <c r="K124" s="97">
        <f>[1]Irrigated!I46</f>
        <v>61</v>
      </c>
      <c r="L124" s="98">
        <f>[1]Irrigated!J46</f>
        <v>59.74</v>
      </c>
      <c r="M124" s="96">
        <f>[1]Irrigated!K46</f>
        <v>58.6</v>
      </c>
      <c r="N124" s="99">
        <f>[1]Irrigated!L46</f>
        <v>59.38</v>
      </c>
      <c r="O124" s="100">
        <v>39.5</v>
      </c>
      <c r="P124" s="99">
        <f>[1]Irrigated!M46</f>
        <v>57.98</v>
      </c>
      <c r="Q124" s="101">
        <f>[1]Irrigated!N46</f>
        <v>54.64</v>
      </c>
      <c r="R124" s="102">
        <v>54.64</v>
      </c>
      <c r="S124" s="103">
        <f>[1]Irrigated!O46</f>
        <v>51.74</v>
      </c>
      <c r="T124" s="104">
        <f>[1]Irrigated!P46</f>
        <v>50.95</v>
      </c>
      <c r="U124" s="105">
        <f>[1]Irrigated!Q46</f>
        <v>49.05</v>
      </c>
      <c r="V124" s="98">
        <f>[1]Irrigated!R46</f>
        <v>51.82</v>
      </c>
      <c r="W124" s="98">
        <f>[1]Irrigated!S46</f>
        <v>59.23</v>
      </c>
      <c r="X124" s="98">
        <v>68.36</v>
      </c>
      <c r="Y124" s="98">
        <v>81.47</v>
      </c>
      <c r="Z124" s="98">
        <v>95.79</v>
      </c>
      <c r="AA124" s="98">
        <v>107.83</v>
      </c>
      <c r="AB124" s="98">
        <v>123.5</v>
      </c>
      <c r="AC124" s="98">
        <v>134.53</v>
      </c>
      <c r="AD124" s="98">
        <v>139.88999999999999</v>
      </c>
      <c r="AE124" s="98">
        <v>142.96</v>
      </c>
      <c r="AF124" s="98">
        <v>141.46</v>
      </c>
      <c r="AG124" s="106">
        <v>135.83000000000001</v>
      </c>
      <c r="AH124" s="107">
        <v>118.15</v>
      </c>
      <c r="AI124" s="107">
        <v>92.89</v>
      </c>
      <c r="AJ124" s="107">
        <v>71.19</v>
      </c>
      <c r="AK124" s="90">
        <f t="shared" si="19"/>
        <v>405</v>
      </c>
      <c r="AL124" s="90">
        <f t="shared" si="20"/>
        <v>400</v>
      </c>
      <c r="AM124" s="108">
        <f t="shared" si="21"/>
        <v>387</v>
      </c>
      <c r="AN124" s="91">
        <f t="shared" si="22"/>
        <v>388</v>
      </c>
      <c r="AO124" s="108">
        <f t="shared" si="17"/>
        <v>272</v>
      </c>
      <c r="AP124" s="109">
        <f t="shared" si="18"/>
        <v>403</v>
      </c>
      <c r="AQ124" s="110">
        <f t="shared" si="23"/>
        <v>378</v>
      </c>
      <c r="AR124" s="110">
        <f t="shared" si="23"/>
        <v>378</v>
      </c>
      <c r="AS124" s="110">
        <f t="shared" si="27"/>
        <v>356</v>
      </c>
      <c r="AT124" s="110">
        <f t="shared" si="28"/>
        <v>350</v>
      </c>
      <c r="AU124" s="110">
        <f t="shared" si="24"/>
        <v>335</v>
      </c>
      <c r="AV124" s="109">
        <f t="shared" si="25"/>
        <v>339</v>
      </c>
      <c r="AW124" s="109">
        <f>ROUND(W124/VLOOKUP($C124,CapRate,13),0)</f>
        <v>386</v>
      </c>
      <c r="AX124" s="109">
        <f>ROUND(X124/VLOOKUP($C124,CapRate,14),0)</f>
        <v>445</v>
      </c>
      <c r="AY124" s="109">
        <f>ROUND(Y124/VLOOKUP($C124,CapRate,15),0)</f>
        <v>528</v>
      </c>
      <c r="AZ124" s="109">
        <f>ROUND(Z124/VLOOKUP($C124,CapRate,16),0)</f>
        <v>620</v>
      </c>
      <c r="BA124" s="109">
        <f>ROUND(AA124/VLOOKUP($C124,CapRate,17),0)</f>
        <v>696</v>
      </c>
      <c r="BB124" s="109">
        <f>ROUND(AB124/VLOOKUP($C124,CapRate,18),0)</f>
        <v>796</v>
      </c>
      <c r="BC124" s="109">
        <f>ROUND(AC124/VLOOKUP($C124,CapRate,19),0)</f>
        <v>865</v>
      </c>
      <c r="BD124" s="109">
        <f>ROUND(AD124/VLOOKUP($C124,CapRate,20),0)</f>
        <v>901</v>
      </c>
      <c r="BE124" s="109">
        <f>ROUND(AE124/VLOOKUP($C124,CapRate,21),0)</f>
        <v>920</v>
      </c>
      <c r="BF124" s="109">
        <f>ROUND(AF124/VLOOKUP($C124,CapRate,22),0)</f>
        <v>910</v>
      </c>
      <c r="BG124" s="109">
        <f>ROUND(AG124/VLOOKUP($C124,CapRate,23),0)</f>
        <v>874</v>
      </c>
      <c r="BH124" s="109">
        <f>ROUND(AH124/VLOOKUP($C124,CapRate,24),0)</f>
        <v>760</v>
      </c>
      <c r="BI124" s="109">
        <f>ROUND(AI124/VLOOKUP($C124,CapRate,25),0)</f>
        <v>598</v>
      </c>
      <c r="BJ124" s="109">
        <f>ROUND(AJ124/VLOOKUP($C124,CapRate,26),0)</f>
        <v>460</v>
      </c>
      <c r="BK124" s="193">
        <f t="shared" si="26"/>
        <v>-0.23076923076923073</v>
      </c>
      <c r="BL124" s="114">
        <f>((F121*BK121)+(F122*BK122)+(F123*BK123)+(F124*BK124))</f>
        <v>-5.515925784665987E-2</v>
      </c>
      <c r="BM124" s="120"/>
      <c r="BN124" s="115"/>
      <c r="BO124" s="115">
        <f>BK124</f>
        <v>-0.23076923076923073</v>
      </c>
      <c r="BP124" s="115"/>
    </row>
    <row r="125" spans="1:68" ht="15.9" customHeight="1" thickTop="1">
      <c r="A125" s="54">
        <v>40</v>
      </c>
      <c r="B125" s="22"/>
      <c r="C125" s="8" t="s">
        <v>90</v>
      </c>
      <c r="D125" s="23" t="s">
        <v>90</v>
      </c>
      <c r="E125" s="8" t="s">
        <v>39</v>
      </c>
      <c r="F125" s="188">
        <f>[1]AcreSummary!M40</f>
        <v>0.456042465607226</v>
      </c>
      <c r="G125" s="25"/>
      <c r="H125" s="117"/>
      <c r="I125" s="57">
        <f>[1]Native!E38</f>
        <v>7.98</v>
      </c>
      <c r="J125" s="58">
        <f>[1]Native!F38</f>
        <v>8.1679999999999993</v>
      </c>
      <c r="K125" s="80">
        <f>[1]Native!G38</f>
        <v>8.6669999999999998</v>
      </c>
      <c r="L125" s="68">
        <f>[1]Native!H38</f>
        <v>9.0319000000000003</v>
      </c>
      <c r="M125" s="58">
        <f>[1]Native!I38</f>
        <v>9.4550000000000001</v>
      </c>
      <c r="N125" s="81">
        <f>[1]Native!J38</f>
        <v>9.86</v>
      </c>
      <c r="O125" s="62">
        <v>9.7100000000000009</v>
      </c>
      <c r="P125" s="81">
        <f>[1]Native!K38</f>
        <v>9.94</v>
      </c>
      <c r="Q125" s="82">
        <f>[1]Native!L38</f>
        <v>9.93</v>
      </c>
      <c r="R125" s="83">
        <v>9.93</v>
      </c>
      <c r="S125" s="84">
        <f>[1]Native!M38</f>
        <v>9.98</v>
      </c>
      <c r="T125" s="66">
        <f>[1]Native!N38</f>
        <v>9.91</v>
      </c>
      <c r="U125" s="67">
        <f>[1]Native!O38</f>
        <v>9.17</v>
      </c>
      <c r="V125" s="68">
        <f>[1]Native!P38</f>
        <v>6.69</v>
      </c>
      <c r="W125" s="68">
        <f>[1]Native!Q38</f>
        <v>6.39</v>
      </c>
      <c r="X125" s="68">
        <v>6.88</v>
      </c>
      <c r="Y125" s="68">
        <v>7.4</v>
      </c>
      <c r="Z125" s="68">
        <v>8.89</v>
      </c>
      <c r="AA125" s="68">
        <v>10.19</v>
      </c>
      <c r="AB125" s="68">
        <v>11.48</v>
      </c>
      <c r="AC125" s="68">
        <v>12.84</v>
      </c>
      <c r="AD125" s="68">
        <v>14.2</v>
      </c>
      <c r="AE125" s="68">
        <v>15.57</v>
      </c>
      <c r="AF125" s="68">
        <v>16.170000000000002</v>
      </c>
      <c r="AG125" s="69">
        <v>16.920000000000002</v>
      </c>
      <c r="AH125" s="70">
        <v>17.3</v>
      </c>
      <c r="AI125" s="70">
        <v>17.72</v>
      </c>
      <c r="AJ125" s="70">
        <v>18.45</v>
      </c>
      <c r="AK125" s="8">
        <f t="shared" si="19"/>
        <v>53</v>
      </c>
      <c r="AL125" s="8">
        <f t="shared" si="20"/>
        <v>56</v>
      </c>
      <c r="AM125" s="85">
        <f t="shared" si="21"/>
        <v>58</v>
      </c>
      <c r="AN125" s="23">
        <f t="shared" si="22"/>
        <v>62</v>
      </c>
      <c r="AO125" s="85">
        <f t="shared" si="17"/>
        <v>67</v>
      </c>
      <c r="AP125" s="72">
        <f t="shared" si="18"/>
        <v>69</v>
      </c>
      <c r="AQ125" s="71">
        <f t="shared" si="23"/>
        <v>69</v>
      </c>
      <c r="AR125" s="71">
        <f t="shared" si="23"/>
        <v>69</v>
      </c>
      <c r="AS125" s="71">
        <f t="shared" si="27"/>
        <v>69</v>
      </c>
      <c r="AT125" s="71">
        <f t="shared" si="28"/>
        <v>69</v>
      </c>
      <c r="AU125" s="71">
        <f t="shared" si="24"/>
        <v>63</v>
      </c>
      <c r="AV125" s="72">
        <f t="shared" si="25"/>
        <v>45</v>
      </c>
      <c r="AW125" s="122">
        <f>IF(ROUND(W125/VLOOKUP($C125,CapRate,13),0)&gt;10,W125/VLOOKUP($C125,CapRate,13),10)</f>
        <v>42.628418945963972</v>
      </c>
      <c r="AX125" s="122">
        <f>IF(ROUND(X125/VLOOKUP($C125,CapRate,14),0)&gt;10,X125/VLOOKUP($C125,CapRate,14),10)</f>
        <v>45.714285714285715</v>
      </c>
      <c r="AY125" s="122">
        <f>IF(ROUND(Y125/VLOOKUP($C125,CapRate,15),0)&gt;10,Y125/VLOOKUP($C125,CapRate,15),10)</f>
        <v>48.652202498356345</v>
      </c>
      <c r="AZ125" s="122">
        <f>IF(ROUND(Z125/VLOOKUP($C125,CapRate,16),0)&gt;10,Z125/VLOOKUP($C125,CapRate,16),10)</f>
        <v>58.218729535036019</v>
      </c>
      <c r="BA125" s="122">
        <f>IF(ROUND(AA125/VLOOKUP($C125,CapRate,17),0)&gt;10,AA125/VLOOKUP($C125,CapRate,17),10)</f>
        <v>65.826873385012917</v>
      </c>
      <c r="BB125" s="122">
        <f>IF(ROUND(AB125/VLOOKUP($C125,CapRate,18),0)&gt;10,AB125/VLOOKUP($C125,CapRate,18),10)</f>
        <v>73.826366559485535</v>
      </c>
      <c r="BC125" s="122">
        <f>IF(ROUND(AC125/VLOOKUP($C125,CapRate,19),0)&gt;10,AC125/VLOOKUP($C125,CapRate,19),10)</f>
        <v>82.097186700767253</v>
      </c>
      <c r="BD125" s="122">
        <f>IF(ROUND(AD125/VLOOKUP($C125,CapRate,20),0)&gt;10,AD125/VLOOKUP($C125,CapRate,20),10)</f>
        <v>90.388287714831321</v>
      </c>
      <c r="BE125" s="122">
        <f>IF(ROUND(AE125/VLOOKUP($C125,CapRate,21),0)&gt;10,AE125/VLOOKUP($C125,CapRate,21),10)</f>
        <v>98.919949174078781</v>
      </c>
      <c r="BF125" s="122">
        <f>IF(ROUND(AF125/VLOOKUP($C125,CapRate,22),0)&gt;10,AF125/VLOOKUP($C125,CapRate,22),10)</f>
        <v>102.60152284263961</v>
      </c>
      <c r="BG125" s="122">
        <f>IF(ROUND(AG125/VLOOKUP($C125,CapRate,23),0)&gt;10,AG125/VLOOKUP($C125,CapRate,23),10)</f>
        <v>107.42857142857144</v>
      </c>
      <c r="BH125" s="122">
        <f>IF(ROUND(AH125/VLOOKUP($C125,CapRate,24),0)&gt;10,AH125/VLOOKUP($C125,CapRate,24),10)</f>
        <v>110.05089058524173</v>
      </c>
      <c r="BI125" s="122">
        <f>IF(ROUND(AI125/VLOOKUP($C125,CapRate,25),0)&gt;10,AI125/VLOOKUP($C125,CapRate,25),10)</f>
        <v>113.15453384418902</v>
      </c>
      <c r="BJ125" s="122">
        <f>IF(ROUND(AJ125/VLOOKUP($C125,CapRate,26),0)&gt;10,AJ125/VLOOKUP($C125,CapRate,26),10)</f>
        <v>118.64951768488746</v>
      </c>
      <c r="BK125" s="75">
        <f t="shared" si="26"/>
        <v>4.8561764641838367E-2</v>
      </c>
      <c r="BL125" s="76"/>
      <c r="BM125" s="77">
        <f>BK125</f>
        <v>4.8561764641838367E-2</v>
      </c>
      <c r="BN125" s="77"/>
      <c r="BO125" s="77"/>
      <c r="BP125" s="77"/>
    </row>
    <row r="126" spans="1:68" ht="15.9" customHeight="1">
      <c r="A126" s="54"/>
      <c r="B126" s="22"/>
      <c r="C126" s="8" t="s">
        <v>90</v>
      </c>
      <c r="D126" s="23"/>
      <c r="E126" s="8" t="s">
        <v>85</v>
      </c>
      <c r="F126" s="188">
        <f>[1]AcreSummary!L40</f>
        <v>1.6999084931573795E-2</v>
      </c>
      <c r="G126" s="25"/>
      <c r="H126" s="117"/>
      <c r="I126" s="57"/>
      <c r="J126" s="58">
        <f>[1]Tame!D7</f>
        <v>11.48</v>
      </c>
      <c r="K126" s="80">
        <f>[1]Tame!E7</f>
        <v>11.319000000000001</v>
      </c>
      <c r="L126" s="68">
        <f>[1]Tame!F7</f>
        <v>11.12</v>
      </c>
      <c r="M126" s="58">
        <f>[1]Tame!G7</f>
        <v>11.003</v>
      </c>
      <c r="N126" s="81">
        <f>[1]Tame!H7</f>
        <v>10.85</v>
      </c>
      <c r="O126" s="62">
        <v>10.28</v>
      </c>
      <c r="P126" s="81">
        <f>[1]Tame!I7</f>
        <v>10.199999999999999</v>
      </c>
      <c r="Q126" s="82">
        <f>[1]Tame!J7</f>
        <v>9.82</v>
      </c>
      <c r="R126" s="83">
        <v>9.82</v>
      </c>
      <c r="S126" s="84">
        <f>[1]Tame!K7</f>
        <v>9.0299999999999994</v>
      </c>
      <c r="T126" s="66">
        <f>[1]Tame!L7</f>
        <v>7.64</v>
      </c>
      <c r="U126" s="67">
        <f>[1]Tame!M7</f>
        <v>7.49</v>
      </c>
      <c r="V126" s="68">
        <f>[1]Tame!N7</f>
        <v>7.83</v>
      </c>
      <c r="W126" s="68">
        <f>[1]Tame!O7</f>
        <v>8.9499999999999993</v>
      </c>
      <c r="X126" s="68">
        <v>11.13</v>
      </c>
      <c r="Y126" s="68">
        <v>13.41</v>
      </c>
      <c r="Z126" s="68">
        <v>13.98</v>
      </c>
      <c r="AA126" s="68">
        <v>10.43</v>
      </c>
      <c r="AB126" s="68">
        <v>10.69</v>
      </c>
      <c r="AC126" s="68">
        <v>10.84</v>
      </c>
      <c r="AD126" s="68">
        <v>13.43</v>
      </c>
      <c r="AE126" s="68">
        <v>14.82</v>
      </c>
      <c r="AF126" s="68">
        <v>15.17</v>
      </c>
      <c r="AG126" s="69">
        <v>15.71</v>
      </c>
      <c r="AH126" s="70">
        <v>17.739999999999998</v>
      </c>
      <c r="AI126" s="70">
        <v>19.02</v>
      </c>
      <c r="AJ126" s="70">
        <v>20.71</v>
      </c>
      <c r="AK126" s="8">
        <f>ROUND(J126/VLOOKUP($C126,CapRate,2),0)</f>
        <v>75</v>
      </c>
      <c r="AL126" s="8">
        <f>ROUND(K126/VLOOKUP($C126,CapRate,3),0)</f>
        <v>74</v>
      </c>
      <c r="AM126" s="85">
        <f>ROUND(L126/VLOOKUP($C126,CapRate,4),0)</f>
        <v>72</v>
      </c>
      <c r="AN126" s="23">
        <f>ROUND(M126/VLOOKUP($C126,CapRate,5),0)</f>
        <v>73</v>
      </c>
      <c r="AO126" s="85">
        <f t="shared" si="17"/>
        <v>71</v>
      </c>
      <c r="AP126" s="72">
        <f t="shared" si="18"/>
        <v>71</v>
      </c>
      <c r="AQ126" s="71">
        <f t="shared" si="23"/>
        <v>68</v>
      </c>
      <c r="AR126" s="71">
        <f t="shared" si="23"/>
        <v>68</v>
      </c>
      <c r="AS126" s="71">
        <f t="shared" si="27"/>
        <v>62</v>
      </c>
      <c r="AT126" s="71">
        <f t="shared" si="28"/>
        <v>53</v>
      </c>
      <c r="AU126" s="71">
        <f t="shared" si="24"/>
        <v>52</v>
      </c>
      <c r="AV126" s="72">
        <f>IF(ROUND(V126/VLOOKUP($C126,CapRate,12),0)&gt;AV125,V126/VLOOKUP($C126,CapRate,12),AV125)</f>
        <v>52.550335570469798</v>
      </c>
      <c r="AW126" s="72">
        <f>IF(ROUND(W126/VLOOKUP($C126,CapRate,13),0)&gt;AW125,W126/VLOOKUP($C126,CapRate,13),AW125)</f>
        <v>59.706470980653762</v>
      </c>
      <c r="AX126" s="72">
        <f>IF(ROUND(X126/VLOOKUP($C126,CapRate,14),0)&gt;AX125,X126/VLOOKUP($C126,CapRate,14),AX125)</f>
        <v>73.953488372093034</v>
      </c>
      <c r="AY126" s="72">
        <f>IF(ROUND(Y126/VLOOKUP($C126,CapRate,15),0)&gt;AY125,Y126/VLOOKUP($C126,CapRate,15),AY125)</f>
        <v>88.165680473372774</v>
      </c>
      <c r="AZ126" s="72">
        <f>IF(ROUND(Z126/VLOOKUP($C126,CapRate,16),0)&gt;AZ125,Z126/VLOOKUP($C126,CapRate,16),AZ125)</f>
        <v>91.552062868369347</v>
      </c>
      <c r="BA126" s="72">
        <f>IF(ROUND(AA126/VLOOKUP($C126,CapRate,17),0)&gt;BA125,AA126/VLOOKUP($C126,CapRate,17),BA125)</f>
        <v>67.377260981912144</v>
      </c>
      <c r="BB126" s="72">
        <f>IF(ROUND(AB126/VLOOKUP($C126,CapRate,18),0)&gt;BB125,AB126/VLOOKUP($C126,CapRate,18),BB125)</f>
        <v>73.826366559485535</v>
      </c>
      <c r="BC126" s="72">
        <f>IF(ROUND(AC126/VLOOKUP($C126,CapRate,19),0)&gt;BC125,AC126/VLOOKUP($C126,CapRate,19),BC125)</f>
        <v>82.097186700767253</v>
      </c>
      <c r="BD126" s="72">
        <f>IF(ROUND(AD126/VLOOKUP($C126,CapRate,20),0)&gt;BD125,AD126/VLOOKUP($C126,CapRate,20),BD125)</f>
        <v>90.388287714831321</v>
      </c>
      <c r="BE126" s="72">
        <f>IF(ROUND(AE126/VLOOKUP($C126,CapRate,21),0)&gt;BE125,AE126/VLOOKUP($C126,CapRate,21),BE125)</f>
        <v>98.919949174078781</v>
      </c>
      <c r="BF126" s="72">
        <f>IF(ROUND(AF126/VLOOKUP($C126,CapRate,22),0)&gt;BF125,AF126/VLOOKUP($C126,CapRate,22),BF125)</f>
        <v>102.60152284263961</v>
      </c>
      <c r="BG126" s="72">
        <f>IF(ROUND(AG126/VLOOKUP($C126,CapRate,23),0)&gt;BG125,AG126/VLOOKUP($C126,CapRate,23),BG125)</f>
        <v>107.42857142857144</v>
      </c>
      <c r="BH126" s="72">
        <f>IF(ROUND(AH126/VLOOKUP($C126,CapRate,24),0)&gt;BH125,AH126/VLOOKUP($C126,CapRate,24),BH125)</f>
        <v>112.84987277353689</v>
      </c>
      <c r="BI126" s="72">
        <f>IF(ROUND(AI126/VLOOKUP($C126,CapRate,25),0)&gt;BI125,AI126/VLOOKUP($C126,CapRate,25),BI125)</f>
        <v>121.45593869731802</v>
      </c>
      <c r="BJ126" s="72">
        <f>IF(ROUND(AJ126/VLOOKUP($C126,CapRate,26),0)&gt;BJ125,AJ126/VLOOKUP($C126,CapRate,26),BJ125)</f>
        <v>133.18327974276528</v>
      </c>
      <c r="BK126" s="87">
        <f t="shared" si="26"/>
        <v>9.6556341099739207E-2</v>
      </c>
      <c r="BL126" s="76"/>
      <c r="BM126" s="77"/>
      <c r="BN126" s="77"/>
      <c r="BO126" s="77"/>
      <c r="BP126" s="77">
        <f>BK126</f>
        <v>9.6556341099739207E-2</v>
      </c>
    </row>
    <row r="127" spans="1:68" ht="15.9" customHeight="1">
      <c r="A127" s="54">
        <v>40</v>
      </c>
      <c r="B127" s="22"/>
      <c r="C127" s="8" t="s">
        <v>90</v>
      </c>
      <c r="D127" s="23"/>
      <c r="E127" s="8" t="s">
        <v>40</v>
      </c>
      <c r="F127" s="188">
        <f>[1]AcreSummary!J40</f>
        <v>0.50923876835706672</v>
      </c>
      <c r="G127" s="25"/>
      <c r="H127" s="117"/>
      <c r="I127" s="57">
        <f>[1]Dry!E40</f>
        <v>19.43</v>
      </c>
      <c r="J127" s="58">
        <f>[1]Dry!F40</f>
        <v>18.29</v>
      </c>
      <c r="K127" s="80">
        <f>[1]Dry!G40</f>
        <v>18.579999999999998</v>
      </c>
      <c r="L127" s="68">
        <f>[1]Dry!H40</f>
        <v>19.739999999999998</v>
      </c>
      <c r="M127" s="58">
        <f>[1]Dry!I40</f>
        <v>21.25</v>
      </c>
      <c r="N127" s="81">
        <f>[1]Dry!J40</f>
        <v>23.03</v>
      </c>
      <c r="O127" s="62">
        <v>22.79</v>
      </c>
      <c r="P127" s="81">
        <f>[1]Dry!K40</f>
        <v>24.84</v>
      </c>
      <c r="Q127" s="82">
        <f>[1]Dry!L40</f>
        <v>27.17</v>
      </c>
      <c r="R127" s="83">
        <f>Q127*0.95</f>
        <v>25.811499999999999</v>
      </c>
      <c r="S127" s="84">
        <f>[1]Dry!N40</f>
        <v>28.84</v>
      </c>
      <c r="T127" s="66">
        <f>[1]Dry!O40</f>
        <v>30.61</v>
      </c>
      <c r="U127" s="67">
        <f>[1]Dry!P40</f>
        <v>31.39</v>
      </c>
      <c r="V127" s="68">
        <f>[1]Dry!Q40</f>
        <v>29.84</v>
      </c>
      <c r="W127" s="68">
        <f>[1]Dry!R40</f>
        <v>32.21</v>
      </c>
      <c r="X127" s="68">
        <f>[1]Dry!S40</f>
        <v>34.479999999999997</v>
      </c>
      <c r="Y127" s="68">
        <f>[1]Dry!T40</f>
        <v>37.1</v>
      </c>
      <c r="Z127" s="68">
        <v>40.67</v>
      </c>
      <c r="AA127" s="68">
        <v>43.92</v>
      </c>
      <c r="AB127" s="68">
        <v>53.78</v>
      </c>
      <c r="AC127" s="68">
        <v>59.06</v>
      </c>
      <c r="AD127" s="68">
        <v>61.12</v>
      </c>
      <c r="AE127" s="68">
        <v>62.2</v>
      </c>
      <c r="AF127" s="68">
        <v>60.67</v>
      </c>
      <c r="AG127" s="69">
        <v>59.18</v>
      </c>
      <c r="AH127" s="70">
        <v>54.28</v>
      </c>
      <c r="AI127" s="70">
        <v>46.6</v>
      </c>
      <c r="AJ127" s="70">
        <v>39.840000000000003</v>
      </c>
      <c r="AK127" s="8">
        <f t="shared" si="19"/>
        <v>120</v>
      </c>
      <c r="AL127" s="8">
        <f t="shared" si="20"/>
        <v>121</v>
      </c>
      <c r="AM127" s="85">
        <f t="shared" si="21"/>
        <v>127</v>
      </c>
      <c r="AN127" s="23">
        <f t="shared" si="22"/>
        <v>140</v>
      </c>
      <c r="AO127" s="85">
        <f t="shared" si="17"/>
        <v>157</v>
      </c>
      <c r="AP127" s="72">
        <f t="shared" si="18"/>
        <v>173</v>
      </c>
      <c r="AQ127" s="71">
        <f t="shared" si="23"/>
        <v>188</v>
      </c>
      <c r="AR127" s="71">
        <f t="shared" si="23"/>
        <v>179</v>
      </c>
      <c r="AS127" s="71">
        <f t="shared" si="27"/>
        <v>199</v>
      </c>
      <c r="AT127" s="71">
        <f t="shared" si="28"/>
        <v>212</v>
      </c>
      <c r="AU127" s="71">
        <f t="shared" si="24"/>
        <v>216</v>
      </c>
      <c r="AV127" s="72">
        <f t="shared" si="25"/>
        <v>200</v>
      </c>
      <c r="AW127" s="72">
        <f>ROUND(W127/VLOOKUP($C127,CapRate,13),0)</f>
        <v>215</v>
      </c>
      <c r="AX127" s="72">
        <f>ROUND(X127/VLOOKUP($C127,CapRate,14),0)</f>
        <v>229</v>
      </c>
      <c r="AY127" s="72">
        <f>ROUND(Y127/VLOOKUP($C127,CapRate,15),0)</f>
        <v>244</v>
      </c>
      <c r="AZ127" s="72">
        <f>ROUND(Z127/VLOOKUP($C127,CapRate,16),0)</f>
        <v>266</v>
      </c>
      <c r="BA127" s="72">
        <f>ROUND(AA127/VLOOKUP($C127,CapRate,17),0)</f>
        <v>284</v>
      </c>
      <c r="BB127" s="72">
        <f>ROUND(AB127/VLOOKUP($C127,CapRate,18),0)</f>
        <v>346</v>
      </c>
      <c r="BC127" s="72">
        <f>ROUND(AC127/VLOOKUP($C127,CapRate,19),0)</f>
        <v>378</v>
      </c>
      <c r="BD127" s="72">
        <f>ROUND(AD127/VLOOKUP($C127,CapRate,20),0)</f>
        <v>389</v>
      </c>
      <c r="BE127" s="72">
        <f>ROUND(AE127/VLOOKUP($C127,CapRate,21),0)</f>
        <v>395</v>
      </c>
      <c r="BF127" s="72">
        <f>ROUND(AF127/VLOOKUP($C127,CapRate,22),0)</f>
        <v>385</v>
      </c>
      <c r="BG127" s="72">
        <f>ROUND(AG127/VLOOKUP($C127,CapRate,23),0)</f>
        <v>376</v>
      </c>
      <c r="BH127" s="72">
        <f>ROUND(AH127/VLOOKUP($C127,CapRate,24),0)</f>
        <v>345</v>
      </c>
      <c r="BI127" s="72">
        <f>ROUND(AI127/VLOOKUP($C127,CapRate,25),0)</f>
        <v>298</v>
      </c>
      <c r="BJ127" s="72">
        <f>ROUND(AJ127/VLOOKUP($C127,CapRate,26),0)</f>
        <v>256</v>
      </c>
      <c r="BK127" s="87">
        <f t="shared" si="26"/>
        <v>-0.14093959731543626</v>
      </c>
      <c r="BL127" s="76"/>
      <c r="BM127" s="77"/>
      <c r="BN127" s="77">
        <f>BK127</f>
        <v>-0.14093959731543626</v>
      </c>
      <c r="BO127" s="77"/>
      <c r="BP127" s="77"/>
    </row>
    <row r="128" spans="1:68" ht="15.9" customHeight="1" thickBot="1">
      <c r="A128" s="54">
        <v>40</v>
      </c>
      <c r="B128" s="22"/>
      <c r="C128" s="90" t="s">
        <v>90</v>
      </c>
      <c r="D128" s="91"/>
      <c r="E128" s="90" t="s">
        <v>41</v>
      </c>
      <c r="F128" s="190">
        <f>[1]AcreSummary!K40</f>
        <v>1.7719681104133456E-2</v>
      </c>
      <c r="G128" s="191">
        <f>[1]Irrigated!D47</f>
        <v>100</v>
      </c>
      <c r="H128" s="94">
        <f>[1]Irrigated!E47</f>
        <v>0.89</v>
      </c>
      <c r="I128" s="95"/>
      <c r="J128" s="96">
        <f>[1]Irrigated!H47</f>
        <v>55.44</v>
      </c>
      <c r="K128" s="97">
        <f>[1]Irrigated!I47</f>
        <v>55.52</v>
      </c>
      <c r="L128" s="98">
        <f>[1]Irrigated!J47</f>
        <v>54.64</v>
      </c>
      <c r="M128" s="96">
        <f>[1]Irrigated!K47</f>
        <v>53.88</v>
      </c>
      <c r="N128" s="99">
        <f>[1]Irrigated!L47</f>
        <v>55.04</v>
      </c>
      <c r="O128" s="100">
        <v>50.83</v>
      </c>
      <c r="P128" s="99">
        <f>[1]Irrigated!M47</f>
        <v>54.01</v>
      </c>
      <c r="Q128" s="101">
        <f>[1]Irrigated!N47</f>
        <v>51.43</v>
      </c>
      <c r="R128" s="102">
        <v>51.43</v>
      </c>
      <c r="S128" s="103">
        <f>[1]Irrigated!O47</f>
        <v>49.29</v>
      </c>
      <c r="T128" s="104">
        <f>[1]Irrigated!P47</f>
        <v>49.19</v>
      </c>
      <c r="U128" s="105">
        <f>[1]Irrigated!Q47</f>
        <v>47.61</v>
      </c>
      <c r="V128" s="98">
        <f>[1]Irrigated!R47</f>
        <v>51.01</v>
      </c>
      <c r="W128" s="98">
        <f>[1]Irrigated!S47</f>
        <v>58.27</v>
      </c>
      <c r="X128" s="98">
        <v>67.23</v>
      </c>
      <c r="Y128" s="98">
        <v>80.14</v>
      </c>
      <c r="Z128" s="98">
        <v>94.21</v>
      </c>
      <c r="AA128" s="98">
        <v>106.04</v>
      </c>
      <c r="AB128" s="98">
        <v>121.73</v>
      </c>
      <c r="AC128" s="98">
        <v>132.57</v>
      </c>
      <c r="AD128" s="98">
        <v>138.06</v>
      </c>
      <c r="AE128" s="98">
        <v>141.1</v>
      </c>
      <c r="AF128" s="98">
        <v>139.62</v>
      </c>
      <c r="AG128" s="106">
        <v>133.91999999999999</v>
      </c>
      <c r="AH128" s="107">
        <v>116.23</v>
      </c>
      <c r="AI128" s="107">
        <v>90.9</v>
      </c>
      <c r="AJ128" s="107">
        <v>68.97</v>
      </c>
      <c r="AK128" s="90">
        <f t="shared" si="19"/>
        <v>362</v>
      </c>
      <c r="AL128" s="90">
        <f t="shared" si="20"/>
        <v>362</v>
      </c>
      <c r="AM128" s="108">
        <f t="shared" si="21"/>
        <v>353</v>
      </c>
      <c r="AN128" s="91">
        <f t="shared" si="22"/>
        <v>356</v>
      </c>
      <c r="AO128" s="108">
        <f t="shared" si="17"/>
        <v>350</v>
      </c>
      <c r="AP128" s="109">
        <f t="shared" si="18"/>
        <v>376</v>
      </c>
      <c r="AQ128" s="110">
        <f t="shared" si="23"/>
        <v>356</v>
      </c>
      <c r="AR128" s="110">
        <f t="shared" si="23"/>
        <v>356</v>
      </c>
      <c r="AS128" s="110">
        <f t="shared" si="27"/>
        <v>341</v>
      </c>
      <c r="AT128" s="110">
        <f t="shared" si="28"/>
        <v>340</v>
      </c>
      <c r="AU128" s="110">
        <f t="shared" si="24"/>
        <v>328</v>
      </c>
      <c r="AV128" s="109">
        <f t="shared" si="25"/>
        <v>342</v>
      </c>
      <c r="AW128" s="109">
        <f>ROUND(W128/VLOOKUP($C128,CapRate,13),0)</f>
        <v>389</v>
      </c>
      <c r="AX128" s="109">
        <f>ROUND(X128/VLOOKUP($C128,CapRate,14),0)</f>
        <v>447</v>
      </c>
      <c r="AY128" s="109">
        <f>ROUND(Y128/VLOOKUP($C128,CapRate,15),0)</f>
        <v>527</v>
      </c>
      <c r="AZ128" s="109">
        <f>ROUND(Z128/VLOOKUP($C128,CapRate,16),0)</f>
        <v>617</v>
      </c>
      <c r="BA128" s="109">
        <f>ROUND(AA128/VLOOKUP($C128,CapRate,17),0)</f>
        <v>685</v>
      </c>
      <c r="BB128" s="109">
        <f>ROUND(AB128/VLOOKUP($C128,CapRate,18),0)</f>
        <v>783</v>
      </c>
      <c r="BC128" s="109">
        <f>ROUND(AC128/VLOOKUP($C128,CapRate,19),0)</f>
        <v>848</v>
      </c>
      <c r="BD128" s="109">
        <f>ROUND(AD128/VLOOKUP($C128,CapRate,20),0)</f>
        <v>879</v>
      </c>
      <c r="BE128" s="109">
        <f>ROUND(AE128/VLOOKUP($C128,CapRate,21),0)</f>
        <v>896</v>
      </c>
      <c r="BF128" s="109">
        <f>ROUND(AF128/VLOOKUP($C128,CapRate,22),0)</f>
        <v>886</v>
      </c>
      <c r="BG128" s="109">
        <f>ROUND(AG128/VLOOKUP($C128,CapRate,23),0)</f>
        <v>850</v>
      </c>
      <c r="BH128" s="109">
        <f>ROUND(AH128/VLOOKUP($C128,CapRate,24),0)</f>
        <v>739</v>
      </c>
      <c r="BI128" s="109">
        <f>ROUND(AI128/VLOOKUP($C128,CapRate,25),0)</f>
        <v>580</v>
      </c>
      <c r="BJ128" s="109">
        <f>ROUND(AJ128/VLOOKUP($C128,CapRate,26),0)</f>
        <v>444</v>
      </c>
      <c r="BK128" s="193">
        <f t="shared" si="26"/>
        <v>-0.23448275862068968</v>
      </c>
      <c r="BL128" s="114">
        <f>((F125*BK125)+(F126*BK126)+(F127*BK127)+(F128*BK128))</f>
        <v>-5.2139270332291585E-2</v>
      </c>
      <c r="BM128" s="120"/>
      <c r="BN128" s="115"/>
      <c r="BO128" s="115">
        <f>BK128</f>
        <v>-0.23448275862068968</v>
      </c>
      <c r="BP128" s="115"/>
    </row>
    <row r="129" spans="1:68" ht="15.9" customHeight="1" thickTop="1">
      <c r="A129" s="54">
        <v>40</v>
      </c>
      <c r="B129" s="22"/>
      <c r="C129" s="8" t="s">
        <v>91</v>
      </c>
      <c r="D129" s="23" t="s">
        <v>91</v>
      </c>
      <c r="E129" s="8" t="s">
        <v>39</v>
      </c>
      <c r="F129" s="188">
        <f>[1]AcreSummary!M41</f>
        <v>0.51479536277106497</v>
      </c>
      <c r="G129" s="25"/>
      <c r="H129" s="117"/>
      <c r="I129" s="57">
        <f>[1]Native!E39</f>
        <v>5.82</v>
      </c>
      <c r="J129" s="58">
        <f>[1]Native!F39</f>
        <v>6.0839999999999996</v>
      </c>
      <c r="K129" s="80">
        <f>[1]Native!G39</f>
        <v>6.46</v>
      </c>
      <c r="L129" s="68">
        <f>[1]Native!H39</f>
        <v>6.6870000000000003</v>
      </c>
      <c r="M129" s="58">
        <f>[1]Native!I39</f>
        <v>6.9589999999999996</v>
      </c>
      <c r="N129" s="81">
        <f>[1]Native!J39</f>
        <v>7.2</v>
      </c>
      <c r="O129" s="62">
        <v>7.12</v>
      </c>
      <c r="P129" s="81">
        <f>[1]Native!K39</f>
        <v>7.24</v>
      </c>
      <c r="Q129" s="82">
        <f>[1]Native!L39</f>
        <v>7.63</v>
      </c>
      <c r="R129" s="83">
        <v>7.63</v>
      </c>
      <c r="S129" s="84">
        <f>[1]Native!M39</f>
        <v>7.6</v>
      </c>
      <c r="T129" s="66">
        <f>[1]Native!N39</f>
        <v>7.45</v>
      </c>
      <c r="U129" s="67">
        <f>[1]Native!O39</f>
        <v>6.62</v>
      </c>
      <c r="V129" s="68">
        <f>[1]Native!P39</f>
        <v>3.14</v>
      </c>
      <c r="W129" s="68">
        <f>[1]Native!Q39</f>
        <v>2.59</v>
      </c>
      <c r="X129" s="68">
        <v>2.81</v>
      </c>
      <c r="Y129" s="68">
        <v>3.05</v>
      </c>
      <c r="Z129" s="68">
        <v>4.29</v>
      </c>
      <c r="AA129" s="68">
        <v>5.44</v>
      </c>
      <c r="AB129" s="68">
        <v>6.56</v>
      </c>
      <c r="AC129" s="68">
        <v>7.73</v>
      </c>
      <c r="AD129" s="68">
        <v>8.84</v>
      </c>
      <c r="AE129" s="68">
        <v>10.039999999999999</v>
      </c>
      <c r="AF129" s="68">
        <v>10.48</v>
      </c>
      <c r="AG129" s="69">
        <v>11.03</v>
      </c>
      <c r="AH129" s="70">
        <v>11.28</v>
      </c>
      <c r="AI129" s="70">
        <v>11.54</v>
      </c>
      <c r="AJ129" s="70">
        <v>12.03</v>
      </c>
      <c r="AK129" s="8">
        <f t="shared" si="19"/>
        <v>40</v>
      </c>
      <c r="AL129" s="8">
        <f t="shared" si="20"/>
        <v>42</v>
      </c>
      <c r="AM129" s="85">
        <f t="shared" si="21"/>
        <v>44</v>
      </c>
      <c r="AN129" s="23">
        <f t="shared" si="22"/>
        <v>46</v>
      </c>
      <c r="AO129" s="85">
        <f t="shared" si="17"/>
        <v>49</v>
      </c>
      <c r="AP129" s="72">
        <f t="shared" si="18"/>
        <v>51</v>
      </c>
      <c r="AQ129" s="71">
        <f t="shared" si="23"/>
        <v>53</v>
      </c>
      <c r="AR129" s="71">
        <f t="shared" si="23"/>
        <v>53</v>
      </c>
      <c r="AS129" s="71">
        <f t="shared" si="27"/>
        <v>53</v>
      </c>
      <c r="AT129" s="71">
        <f t="shared" si="28"/>
        <v>52</v>
      </c>
      <c r="AU129" s="71">
        <f t="shared" si="24"/>
        <v>46</v>
      </c>
      <c r="AV129" s="72">
        <f t="shared" si="25"/>
        <v>21</v>
      </c>
      <c r="AW129" s="122">
        <f>IF(ROUND(W129/VLOOKUP($C129,CapRate,13),0)&gt;10,W129/VLOOKUP($C129,CapRate,13),10)</f>
        <v>17.163684559310799</v>
      </c>
      <c r="AX129" s="122">
        <f>IF(ROUND(X129/VLOOKUP($C129,CapRate,14),0)&gt;10,X129/VLOOKUP($C129,CapRate,14),10)</f>
        <v>18.474687705456937</v>
      </c>
      <c r="AY129" s="122">
        <f>IF(ROUND(Y129/VLOOKUP($C129,CapRate,15),0)&gt;10,Y129/VLOOKUP($C129,CapRate,15),10)</f>
        <v>19.766688269604668</v>
      </c>
      <c r="AZ129" s="122">
        <f>IF(ROUND(Z129/VLOOKUP($C129,CapRate,16),0)&gt;10,Z129/VLOOKUP($C129,CapRate,16),10)</f>
        <v>27.713178294573645</v>
      </c>
      <c r="BA129" s="122">
        <f>IF(ROUND(AA129/VLOOKUP($C129,CapRate,17),0)&gt;10,AA129/VLOOKUP($C129,CapRate,17),10)</f>
        <v>34.827144686299619</v>
      </c>
      <c r="BB129" s="122">
        <f>IF(ROUND(AB129/VLOOKUP($C129,CapRate,18),0)&gt;10,AB129/VLOOKUP($C129,CapRate,18),10)</f>
        <v>41.863433312061261</v>
      </c>
      <c r="BC129" s="122">
        <f>IF(ROUND(AC129/VLOOKUP($C129,CapRate,19),0)&gt;10,AC129/VLOOKUP($C129,CapRate,19),10)</f>
        <v>49.110546378653112</v>
      </c>
      <c r="BD129" s="122">
        <f>IF(ROUND(AD129/VLOOKUP($C129,CapRate,20),0)&gt;10,AD129/VLOOKUP($C129,CapRate,20),10)</f>
        <v>56.126984126984127</v>
      </c>
      <c r="BE129" s="122">
        <f>IF(ROUND(AE129/VLOOKUP($C129,CapRate,21),0)&gt;10,AE129/VLOOKUP($C129,CapRate,21),10)</f>
        <v>63.867684478371494</v>
      </c>
      <c r="BF129" s="122">
        <f>IF(ROUND(AF129/VLOOKUP($C129,CapRate,22),0)&gt;10,AF129/VLOOKUP($C129,CapRate,22),10)</f>
        <v>67.093469910371326</v>
      </c>
      <c r="BG129" s="122">
        <f>IF(ROUND(AG129/VLOOKUP($C129,CapRate,23),0)&gt;10,AG129/VLOOKUP($C129,CapRate,23),10)</f>
        <v>71.069587628865975</v>
      </c>
      <c r="BH129" s="122">
        <f>IF(ROUND(AH129/VLOOKUP($C129,CapRate,24),0)&gt;10,AH129/VLOOKUP($C129,CapRate,24),10)</f>
        <v>72.774193548387089</v>
      </c>
      <c r="BI129" s="122">
        <f>IF(ROUND(AI129/VLOOKUP($C129,CapRate,25),0)&gt;10,AI129/VLOOKUP($C129,CapRate,25),10)</f>
        <v>74.164524421593825</v>
      </c>
      <c r="BJ129" s="122">
        <f>IF(ROUND(AJ129/VLOOKUP($C129,CapRate,26),0)&gt;10,AJ129/VLOOKUP($C129,CapRate,26),10)</f>
        <v>77.115384615384613</v>
      </c>
      <c r="BK129" s="75">
        <f t="shared" si="26"/>
        <v>3.9788028262898401E-2</v>
      </c>
      <c r="BL129" s="76"/>
      <c r="BM129" s="77">
        <f>BK129</f>
        <v>3.9788028262898401E-2</v>
      </c>
      <c r="BN129" s="77"/>
      <c r="BO129" s="77"/>
      <c r="BP129" s="77"/>
    </row>
    <row r="130" spans="1:68" ht="15.9" customHeight="1">
      <c r="A130" s="54"/>
      <c r="B130" s="22"/>
      <c r="C130" s="8" t="s">
        <v>91</v>
      </c>
      <c r="D130" s="23"/>
      <c r="E130" s="8" t="s">
        <v>85</v>
      </c>
      <c r="F130" s="188">
        <f>[1]AcreSummary!L41</f>
        <v>0</v>
      </c>
      <c r="G130" s="25"/>
      <c r="H130" s="117"/>
      <c r="I130" s="57"/>
      <c r="J130" s="58">
        <f>[1]Tame!D8</f>
        <v>10.795500000000001</v>
      </c>
      <c r="K130" s="80">
        <f>[1]Tame!E8</f>
        <v>9.8279999999999994</v>
      </c>
      <c r="L130" s="68">
        <f>[1]Tame!F8</f>
        <v>8.7750000000000004</v>
      </c>
      <c r="M130" s="58">
        <f>[1]Tame!G8</f>
        <v>7.75</v>
      </c>
      <c r="N130" s="81">
        <f>[1]Tame!H8</f>
        <v>6.64</v>
      </c>
      <c r="O130" s="62">
        <v>9.3800000000000008</v>
      </c>
      <c r="P130" s="81">
        <f>[1]Tame!I8</f>
        <v>5.1100000000000003</v>
      </c>
      <c r="Q130" s="82">
        <f>[1]Tame!J8</f>
        <v>4.46</v>
      </c>
      <c r="R130" s="83">
        <v>4.46</v>
      </c>
      <c r="S130" s="84">
        <f>[1]Tame!K8</f>
        <v>2.94</v>
      </c>
      <c r="T130" s="66">
        <f>[1]Tame!L8</f>
        <v>0.06</v>
      </c>
      <c r="U130" s="67">
        <f>[1]Tame!M8</f>
        <v>-0.19</v>
      </c>
      <c r="V130" s="68">
        <f>[1]Tame!N8</f>
        <v>0</v>
      </c>
      <c r="W130" s="68">
        <f>[1]Tame!O8</f>
        <v>0</v>
      </c>
      <c r="X130" s="68">
        <v>0</v>
      </c>
      <c r="Y130" s="68">
        <v>0</v>
      </c>
      <c r="Z130" s="68">
        <v>0</v>
      </c>
      <c r="AA130" s="68">
        <v>0</v>
      </c>
      <c r="AB130" s="68">
        <v>0</v>
      </c>
      <c r="AC130" s="68">
        <v>0</v>
      </c>
      <c r="AD130" s="68">
        <v>0</v>
      </c>
      <c r="AE130" s="68">
        <v>0</v>
      </c>
      <c r="AF130" s="68">
        <v>0</v>
      </c>
      <c r="AG130" s="69">
        <v>0</v>
      </c>
      <c r="AH130" s="70">
        <v>0</v>
      </c>
      <c r="AI130" s="70">
        <v>0</v>
      </c>
      <c r="AJ130" s="70">
        <v>0</v>
      </c>
      <c r="AK130" s="8">
        <f>ROUND(J130/VLOOKUP($C130,CapRate,2),0)</f>
        <v>71</v>
      </c>
      <c r="AL130" s="8">
        <f>ROUND(K130/VLOOKUP($C130,CapRate,3),0)</f>
        <v>65</v>
      </c>
      <c r="AM130" s="85">
        <f>ROUND(L130/VLOOKUP($C130,CapRate,4),0)</f>
        <v>57</v>
      </c>
      <c r="AN130" s="23">
        <f>ROUND(M130/VLOOKUP($C130,CapRate,5),0)</f>
        <v>51</v>
      </c>
      <c r="AO130" s="85">
        <f t="shared" si="17"/>
        <v>65</v>
      </c>
      <c r="AP130" s="72">
        <f t="shared" si="18"/>
        <v>36</v>
      </c>
      <c r="AQ130" s="71">
        <f t="shared" si="23"/>
        <v>31</v>
      </c>
      <c r="AR130" s="71">
        <f t="shared" si="23"/>
        <v>31</v>
      </c>
      <c r="AS130" s="71">
        <v>0</v>
      </c>
      <c r="AT130" s="71">
        <f t="shared" si="28"/>
        <v>0</v>
      </c>
      <c r="AU130" s="71">
        <v>0</v>
      </c>
      <c r="AV130" s="72">
        <f>IF(ROUND(V130/VLOOKUP($C130,CapRate,12),0)&gt;AV129,V130/VLOOKUP($C130,CapRate,12),AV129)</f>
        <v>21</v>
      </c>
      <c r="AW130" s="72">
        <f>IF(ROUND(W130/VLOOKUP($C130,CapRate,13),0)&gt;AW129,W130/VLOOKUP($C130,CapRate,13),AW129)</f>
        <v>17.163684559310799</v>
      </c>
      <c r="AX130" s="72">
        <f>IF(ROUND(X130/VLOOKUP($C130,CapRate,14),0)&gt;AX129,X130/VLOOKUP($C130,CapRate,14),AX129)</f>
        <v>18.474687705456937</v>
      </c>
      <c r="AY130" s="72">
        <f>IF(ROUND(Y130/VLOOKUP($C130,CapRate,15),0)&gt;AY129,Y130/VLOOKUP($C130,CapRate,15),AY129)</f>
        <v>19.766688269604668</v>
      </c>
      <c r="AZ130" s="72">
        <f>IF(ROUND(Z130/VLOOKUP($C130,CapRate,16),0)&gt;AZ129,Z130/VLOOKUP($C130,CapRate,16),AZ129)</f>
        <v>27.713178294573645</v>
      </c>
      <c r="BA130" s="72">
        <f>IF(ROUND(AA130/VLOOKUP($C130,CapRate,17),0)&gt;BA129,AA130/VLOOKUP($C130,CapRate,17),BA129)</f>
        <v>34.827144686299619</v>
      </c>
      <c r="BB130" s="72">
        <f>IF(ROUND(AB130/VLOOKUP($C130,CapRate,18),0)&gt;BB129,AB130/VLOOKUP($C130,CapRate,18),BB129)</f>
        <v>41.863433312061261</v>
      </c>
      <c r="BC130" s="72">
        <f>IF(ROUND(AC130/VLOOKUP($C130,CapRate,19),0)&gt;BC129,AC130/VLOOKUP($C130,CapRate,19),BC129)</f>
        <v>49.110546378653112</v>
      </c>
      <c r="BD130" s="72">
        <f>IF(ROUND(AD130/VLOOKUP($C130,CapRate,20),0)&gt;BD129,AD130/VLOOKUP($C130,CapRate,20),BD129)</f>
        <v>56.126984126984127</v>
      </c>
      <c r="BE130" s="72">
        <f>IF(ROUND(AE130/VLOOKUP($C130,CapRate,21),0)&gt;BE129,AE130/VLOOKUP($C130,CapRate,21),BE129)</f>
        <v>63.867684478371494</v>
      </c>
      <c r="BF130" s="72">
        <f>IF(ROUND(AF130/VLOOKUP($C130,CapRate,22),0)&gt;BF129,AF130/VLOOKUP($C130,CapRate,22),BF129)</f>
        <v>67.093469910371326</v>
      </c>
      <c r="BG130" s="72">
        <f>IF(ROUND(AG130/VLOOKUP($C130,CapRate,23),0)&gt;BG129,AG130/VLOOKUP($C130,CapRate,23),BG129)</f>
        <v>71.069587628865975</v>
      </c>
      <c r="BH130" s="72">
        <f>IF(ROUND(AH130/VLOOKUP($C130,CapRate,24),0)&gt;BH129,AH130/VLOOKUP($C130,CapRate,24),BH129)</f>
        <v>72.774193548387089</v>
      </c>
      <c r="BI130" s="72">
        <f>IF(ROUND(AI130/VLOOKUP($C130,CapRate,25),0)&gt;BI129,AI130/VLOOKUP($C130,CapRate,25),BI129)</f>
        <v>74.164524421593825</v>
      </c>
      <c r="BJ130" s="72">
        <f>IF(ROUND(AJ130/VLOOKUP($C130,CapRate,26),0)&gt;BJ129,AJ130/VLOOKUP($C130,CapRate,26),BJ129)</f>
        <v>77.115384615384613</v>
      </c>
      <c r="BK130" s="87">
        <f t="shared" si="26"/>
        <v>3.9788028262898401E-2</v>
      </c>
      <c r="BL130" s="76"/>
      <c r="BM130" s="77"/>
      <c r="BN130" s="77"/>
      <c r="BO130" s="77"/>
      <c r="BP130" s="77">
        <f>BK130</f>
        <v>3.9788028262898401E-2</v>
      </c>
    </row>
    <row r="131" spans="1:68" ht="15.9" customHeight="1">
      <c r="A131" s="54">
        <v>40</v>
      </c>
      <c r="B131" s="22"/>
      <c r="C131" s="8" t="s">
        <v>91</v>
      </c>
      <c r="D131" s="23"/>
      <c r="E131" s="8" t="s">
        <v>40</v>
      </c>
      <c r="F131" s="188">
        <f>[1]AcreSummary!J41</f>
        <v>0.47130362518420432</v>
      </c>
      <c r="G131" s="25"/>
      <c r="H131" s="117"/>
      <c r="I131" s="57">
        <f>[1]Dry!E41</f>
        <v>13.75</v>
      </c>
      <c r="J131" s="58">
        <f>[1]Dry!F41</f>
        <v>13.17</v>
      </c>
      <c r="K131" s="80">
        <f>[1]Dry!G41</f>
        <v>14.03</v>
      </c>
      <c r="L131" s="68">
        <f>[1]Dry!H41</f>
        <v>15.18</v>
      </c>
      <c r="M131" s="58">
        <f>[1]Dry!I41</f>
        <v>16.68</v>
      </c>
      <c r="N131" s="81">
        <f>[1]Dry!J41</f>
        <v>18.260000000000002</v>
      </c>
      <c r="O131" s="62">
        <v>18.309999999999999</v>
      </c>
      <c r="P131" s="81">
        <f>[1]Dry!K41</f>
        <v>19.59</v>
      </c>
      <c r="Q131" s="82">
        <f>[1]Dry!L41</f>
        <v>21.05</v>
      </c>
      <c r="R131" s="83">
        <f>Q131*0.95</f>
        <v>19.997499999999999</v>
      </c>
      <c r="S131" s="84">
        <f>[1]Dry!N41</f>
        <v>21.75</v>
      </c>
      <c r="T131" s="66">
        <f>[1]Dry!O41</f>
        <v>22.27</v>
      </c>
      <c r="U131" s="67">
        <f>[1]Dry!P41</f>
        <v>21.54</v>
      </c>
      <c r="V131" s="68">
        <f>[1]Dry!Q41</f>
        <v>15.69</v>
      </c>
      <c r="W131" s="68">
        <f>[1]Dry!R41</f>
        <v>17.2</v>
      </c>
      <c r="X131" s="68">
        <f>[1]Dry!S41</f>
        <v>19.670000000000002</v>
      </c>
      <c r="Y131" s="68">
        <f>[1]Dry!T41</f>
        <v>24.02</v>
      </c>
      <c r="Z131" s="68">
        <v>29.15</v>
      </c>
      <c r="AA131" s="68">
        <v>33.46</v>
      </c>
      <c r="AB131" s="68">
        <v>39.479999999999997</v>
      </c>
      <c r="AC131" s="68">
        <v>44.1</v>
      </c>
      <c r="AD131" s="68">
        <v>47.03</v>
      </c>
      <c r="AE131" s="68">
        <v>48.35</v>
      </c>
      <c r="AF131" s="68">
        <v>46.18</v>
      </c>
      <c r="AG131" s="69">
        <v>42.56</v>
      </c>
      <c r="AH131" s="70">
        <v>37.85</v>
      </c>
      <c r="AI131" s="70">
        <v>30.29</v>
      </c>
      <c r="AJ131" s="70">
        <v>24.71</v>
      </c>
      <c r="AK131" s="8">
        <f t="shared" si="19"/>
        <v>87</v>
      </c>
      <c r="AL131" s="8">
        <f t="shared" si="20"/>
        <v>92</v>
      </c>
      <c r="AM131" s="85">
        <f t="shared" si="21"/>
        <v>99</v>
      </c>
      <c r="AN131" s="23">
        <f t="shared" si="22"/>
        <v>111</v>
      </c>
      <c r="AO131" s="85">
        <f t="shared" si="17"/>
        <v>127</v>
      </c>
      <c r="AP131" s="72">
        <f t="shared" si="18"/>
        <v>137</v>
      </c>
      <c r="AQ131" s="71">
        <f t="shared" si="23"/>
        <v>146</v>
      </c>
      <c r="AR131" s="71">
        <f t="shared" si="23"/>
        <v>139</v>
      </c>
      <c r="AS131" s="71">
        <f t="shared" si="27"/>
        <v>151</v>
      </c>
      <c r="AT131" s="71">
        <f t="shared" si="28"/>
        <v>154</v>
      </c>
      <c r="AU131" s="71">
        <f t="shared" si="24"/>
        <v>148</v>
      </c>
      <c r="AV131" s="72">
        <f t="shared" si="25"/>
        <v>105</v>
      </c>
      <c r="AW131" s="72">
        <f>ROUND(W131/VLOOKUP($C131,CapRate,13),0)</f>
        <v>114</v>
      </c>
      <c r="AX131" s="72">
        <f>ROUND(X131/VLOOKUP($C131,CapRate,14),0)</f>
        <v>129</v>
      </c>
      <c r="AY131" s="72">
        <f>ROUND(Y131/VLOOKUP($C131,CapRate,15),0)</f>
        <v>156</v>
      </c>
      <c r="AZ131" s="72">
        <f>ROUND(Z131/VLOOKUP($C131,CapRate,16),0)</f>
        <v>188</v>
      </c>
      <c r="BA131" s="72">
        <f>ROUND(AA131/VLOOKUP($C131,CapRate,17),0)</f>
        <v>214</v>
      </c>
      <c r="BB131" s="72">
        <f>ROUND(AB131/VLOOKUP($C131,CapRate,18),0)</f>
        <v>252</v>
      </c>
      <c r="BC131" s="72">
        <f>ROUND(AC131/VLOOKUP($C131,CapRate,19),0)</f>
        <v>280</v>
      </c>
      <c r="BD131" s="72">
        <f>ROUND(AD131/VLOOKUP($C131,CapRate,20),0)</f>
        <v>299</v>
      </c>
      <c r="BE131" s="72">
        <f>ROUND(AE131/VLOOKUP($C131,CapRate,21),0)</f>
        <v>308</v>
      </c>
      <c r="BF131" s="72">
        <f>ROUND(AF131/VLOOKUP($C131,CapRate,22),0)</f>
        <v>296</v>
      </c>
      <c r="BG131" s="72">
        <f>ROUND(AG131/VLOOKUP($C131,CapRate,23),0)</f>
        <v>274</v>
      </c>
      <c r="BH131" s="72">
        <f>ROUND(AH131/VLOOKUP($C131,CapRate,24),0)</f>
        <v>244</v>
      </c>
      <c r="BI131" s="72">
        <f>ROUND(AI131/VLOOKUP($C131,CapRate,25),0)</f>
        <v>195</v>
      </c>
      <c r="BJ131" s="72">
        <f>ROUND(AJ131/VLOOKUP($C131,CapRate,26),0)</f>
        <v>158</v>
      </c>
      <c r="BK131" s="87">
        <f t="shared" si="26"/>
        <v>-0.18974358974358974</v>
      </c>
      <c r="BL131" s="76"/>
      <c r="BM131" s="77"/>
      <c r="BN131" s="77">
        <f>BK131</f>
        <v>-0.18974358974358974</v>
      </c>
      <c r="BO131" s="77"/>
      <c r="BP131" s="77"/>
    </row>
    <row r="132" spans="1:68" ht="15.9" customHeight="1" thickBot="1">
      <c r="A132" s="54">
        <v>40</v>
      </c>
      <c r="B132" s="22"/>
      <c r="C132" s="90" t="s">
        <v>91</v>
      </c>
      <c r="D132" s="91"/>
      <c r="E132" s="90" t="s">
        <v>41</v>
      </c>
      <c r="F132" s="190">
        <f>[1]AcreSummary!K41</f>
        <v>1.3901012044730697E-2</v>
      </c>
      <c r="G132" s="191">
        <f>[1]Irrigated!D48</f>
        <v>100</v>
      </c>
      <c r="H132" s="94">
        <f>[1]Irrigated!E48</f>
        <v>1</v>
      </c>
      <c r="I132" s="95"/>
      <c r="J132" s="96">
        <f>[1]Irrigated!H48</f>
        <v>62.85</v>
      </c>
      <c r="K132" s="97">
        <f>[1]Irrigated!I48</f>
        <v>62.38</v>
      </c>
      <c r="L132" s="98">
        <f>[1]Irrigated!J48</f>
        <v>60.94</v>
      </c>
      <c r="M132" s="96">
        <f>[1]Irrigated!K48</f>
        <v>59.62</v>
      </c>
      <c r="N132" s="99">
        <f>[1]Irrigated!L48</f>
        <v>60.21</v>
      </c>
      <c r="O132" s="100">
        <v>51.15</v>
      </c>
      <c r="P132" s="99">
        <f>[1]Irrigated!M48</f>
        <v>58.64</v>
      </c>
      <c r="Q132" s="101">
        <f>[1]Irrigated!N48</f>
        <v>55.11</v>
      </c>
      <c r="R132" s="102">
        <v>55.11</v>
      </c>
      <c r="S132" s="103">
        <f>[1]Irrigated!O48</f>
        <v>52.04</v>
      </c>
      <c r="T132" s="104">
        <f>[1]Irrigated!P48</f>
        <v>51.09</v>
      </c>
      <c r="U132" s="105">
        <f>[1]Irrigated!Q48</f>
        <v>49.21</v>
      </c>
      <c r="V132" s="98">
        <f>[1]Irrigated!R48</f>
        <v>50.88</v>
      </c>
      <c r="W132" s="98">
        <f>[1]Irrigated!S48</f>
        <v>58.22</v>
      </c>
      <c r="X132" s="98">
        <v>67.290000000000006</v>
      </c>
      <c r="Y132" s="98">
        <v>78.95</v>
      </c>
      <c r="Z132" s="98">
        <v>92.99</v>
      </c>
      <c r="AA132" s="98">
        <v>104.81</v>
      </c>
      <c r="AB132" s="98">
        <v>120.15</v>
      </c>
      <c r="AC132" s="98">
        <v>130.94999999999999</v>
      </c>
      <c r="AD132" s="98">
        <v>136.16</v>
      </c>
      <c r="AE132" s="98">
        <v>139.13</v>
      </c>
      <c r="AF132" s="98">
        <v>137.38999999999999</v>
      </c>
      <c r="AG132" s="106">
        <v>131.63</v>
      </c>
      <c r="AH132" s="107">
        <v>113.91</v>
      </c>
      <c r="AI132" s="107">
        <v>88.51</v>
      </c>
      <c r="AJ132" s="107">
        <v>66.53</v>
      </c>
      <c r="AK132" s="90">
        <f t="shared" si="19"/>
        <v>413</v>
      </c>
      <c r="AL132" s="90">
        <f t="shared" si="20"/>
        <v>410</v>
      </c>
      <c r="AM132" s="108">
        <f t="shared" si="21"/>
        <v>397</v>
      </c>
      <c r="AN132" s="91">
        <f t="shared" si="22"/>
        <v>396</v>
      </c>
      <c r="AO132" s="108">
        <f t="shared" si="17"/>
        <v>354</v>
      </c>
      <c r="AP132" s="109">
        <f t="shared" si="18"/>
        <v>410</v>
      </c>
      <c r="AQ132" s="110">
        <f t="shared" si="23"/>
        <v>384</v>
      </c>
      <c r="AR132" s="110">
        <f t="shared" si="23"/>
        <v>384</v>
      </c>
      <c r="AS132" s="110">
        <f t="shared" si="27"/>
        <v>361</v>
      </c>
      <c r="AT132" s="110">
        <f t="shared" si="28"/>
        <v>353</v>
      </c>
      <c r="AU132" s="110">
        <f t="shared" si="24"/>
        <v>339</v>
      </c>
      <c r="AV132" s="109">
        <f t="shared" si="25"/>
        <v>340</v>
      </c>
      <c r="AW132" s="109">
        <f>ROUND(W132/VLOOKUP($C132,CapRate,13),0)</f>
        <v>386</v>
      </c>
      <c r="AX132" s="109">
        <f>ROUND(X132/VLOOKUP($C132,CapRate,14),0)</f>
        <v>442</v>
      </c>
      <c r="AY132" s="109">
        <f>ROUND(Y132/VLOOKUP($C132,CapRate,15),0)</f>
        <v>512</v>
      </c>
      <c r="AZ132" s="109">
        <f>ROUND(Z132/VLOOKUP($C132,CapRate,16),0)</f>
        <v>601</v>
      </c>
      <c r="BA132" s="109">
        <f>ROUND(AA132/VLOOKUP($C132,CapRate,17),0)</f>
        <v>671</v>
      </c>
      <c r="BB132" s="109">
        <f>ROUND(AB132/VLOOKUP($C132,CapRate,18),0)</f>
        <v>767</v>
      </c>
      <c r="BC132" s="109">
        <f>ROUND(AC132/VLOOKUP($C132,CapRate,19),0)</f>
        <v>832</v>
      </c>
      <c r="BD132" s="109">
        <f>ROUND(AD132/VLOOKUP($C132,CapRate,20),0)</f>
        <v>865</v>
      </c>
      <c r="BE132" s="109">
        <f>ROUND(AE132/VLOOKUP($C132,CapRate,21),0)</f>
        <v>885</v>
      </c>
      <c r="BF132" s="109">
        <f>ROUND(AF132/VLOOKUP($C132,CapRate,22),0)</f>
        <v>880</v>
      </c>
      <c r="BG132" s="109">
        <f>ROUND(AG132/VLOOKUP($C132,CapRate,23),0)</f>
        <v>848</v>
      </c>
      <c r="BH132" s="109">
        <f>ROUND(AH132/VLOOKUP($C132,CapRate,24),0)</f>
        <v>735</v>
      </c>
      <c r="BI132" s="109">
        <f>ROUND(AI132/VLOOKUP($C132,CapRate,25),0)</f>
        <v>569</v>
      </c>
      <c r="BJ132" s="109">
        <f>ROUND(AJ132/VLOOKUP($C132,CapRate,26),0)</f>
        <v>426</v>
      </c>
      <c r="BK132" s="193">
        <f t="shared" si="26"/>
        <v>-0.25131810193321613</v>
      </c>
      <c r="BL132" s="114">
        <f>((F129*BK129)+(F130*BK130)+(F131*BK131)+(F132*BK132))</f>
        <v>-7.243772522010658E-2</v>
      </c>
      <c r="BM132" s="120"/>
      <c r="BN132" s="115"/>
      <c r="BO132" s="115">
        <f>BK132</f>
        <v>-0.25131810193321613</v>
      </c>
      <c r="BP132" s="115"/>
    </row>
    <row r="133" spans="1:68" ht="15.9" customHeight="1" thickTop="1">
      <c r="A133" s="54">
        <v>40</v>
      </c>
      <c r="B133" s="22"/>
      <c r="C133" s="8" t="s">
        <v>92</v>
      </c>
      <c r="D133" s="124" t="s">
        <v>93</v>
      </c>
      <c r="E133" s="8" t="s">
        <v>39</v>
      </c>
      <c r="F133" s="188">
        <f>[1]AcreSummary!M42</f>
        <v>0.27267405483018142</v>
      </c>
      <c r="G133" s="25"/>
      <c r="H133" s="117"/>
      <c r="I133" s="57">
        <f>[1]Native!E40</f>
        <v>8.58</v>
      </c>
      <c r="J133" s="58">
        <f>[1]Native!F40</f>
        <v>8.8919999999999995</v>
      </c>
      <c r="K133" s="80">
        <f>[1]Native!G40</f>
        <v>9.4909999999999997</v>
      </c>
      <c r="L133" s="68">
        <f>[1]Native!H40</f>
        <v>9.875</v>
      </c>
      <c r="M133" s="58">
        <f>[1]Native!I40</f>
        <v>10.321999999999999</v>
      </c>
      <c r="N133" s="81">
        <f>[1]Native!J40</f>
        <v>10.75</v>
      </c>
      <c r="O133" s="62">
        <v>10.36</v>
      </c>
      <c r="P133" s="81">
        <f>[1]Native!K40</f>
        <v>10.82</v>
      </c>
      <c r="Q133" s="82">
        <f>[1]Native!L40</f>
        <v>10.75</v>
      </c>
      <c r="R133" s="83">
        <v>10.75</v>
      </c>
      <c r="S133" s="84">
        <f>[1]Native!M40</f>
        <v>10.78</v>
      </c>
      <c r="T133" s="66">
        <f>[1]Native!N40</f>
        <v>10.71</v>
      </c>
      <c r="U133" s="67">
        <f>[1]Native!O40</f>
        <v>9.9</v>
      </c>
      <c r="V133" s="68">
        <f>[1]Native!P40</f>
        <v>6.25</v>
      </c>
      <c r="W133" s="68">
        <f>[1]Native!Q40</f>
        <v>5.89</v>
      </c>
      <c r="X133" s="68">
        <v>7.14</v>
      </c>
      <c r="Y133" s="68">
        <v>7.53</v>
      </c>
      <c r="Z133" s="68">
        <v>8.89</v>
      </c>
      <c r="AA133" s="68">
        <v>10.220000000000001</v>
      </c>
      <c r="AB133" s="68">
        <v>11.69</v>
      </c>
      <c r="AC133" s="68">
        <v>13.07</v>
      </c>
      <c r="AD133" s="68">
        <v>14.37</v>
      </c>
      <c r="AE133" s="68">
        <v>15.74</v>
      </c>
      <c r="AF133" s="68">
        <v>16.34</v>
      </c>
      <c r="AG133" s="69">
        <v>17.09</v>
      </c>
      <c r="AH133" s="70">
        <v>17.47</v>
      </c>
      <c r="AI133" s="70">
        <v>17.89</v>
      </c>
      <c r="AJ133" s="70">
        <v>18.52</v>
      </c>
      <c r="AK133" s="8">
        <f t="shared" si="19"/>
        <v>59</v>
      </c>
      <c r="AL133" s="8">
        <f t="shared" si="20"/>
        <v>62</v>
      </c>
      <c r="AM133" s="85">
        <f t="shared" si="21"/>
        <v>64</v>
      </c>
      <c r="AN133" s="23">
        <f t="shared" si="22"/>
        <v>68</v>
      </c>
      <c r="AO133" s="85">
        <f t="shared" si="17"/>
        <v>71</v>
      </c>
      <c r="AP133" s="72">
        <f t="shared" si="18"/>
        <v>75</v>
      </c>
      <c r="AQ133" s="71">
        <f t="shared" si="23"/>
        <v>74</v>
      </c>
      <c r="AR133" s="71">
        <f t="shared" si="23"/>
        <v>74</v>
      </c>
      <c r="AS133" s="71">
        <f t="shared" si="27"/>
        <v>74</v>
      </c>
      <c r="AT133" s="71">
        <f t="shared" si="28"/>
        <v>73</v>
      </c>
      <c r="AU133" s="71">
        <f t="shared" si="24"/>
        <v>68</v>
      </c>
      <c r="AV133" s="72">
        <f t="shared" si="25"/>
        <v>41</v>
      </c>
      <c r="AW133" s="122">
        <f>IF(ROUND(W133/VLOOKUP($C133,CapRate,13),0)&gt;10,W133/VLOOKUP($C133,CapRate,13),10)</f>
        <v>38.648293963254588</v>
      </c>
      <c r="AX133" s="122">
        <f>IF(ROUND(X133/VLOOKUP($C133,CapRate,14),0)&gt;10,X133/VLOOKUP($C133,CapRate,14),10)</f>
        <v>46.63618549967341</v>
      </c>
      <c r="AY133" s="122">
        <f>IF(ROUND(Y133/VLOOKUP($C133,CapRate,15),0)&gt;10,Y133/VLOOKUP($C133,CapRate,15),10)</f>
        <v>48.674854557207496</v>
      </c>
      <c r="AZ133" s="122">
        <f>IF(ROUND(Z133/VLOOKUP($C133,CapRate,16),0)&gt;10,Z133/VLOOKUP($C133,CapRate,16),10)</f>
        <v>57.28092783505155</v>
      </c>
      <c r="BA133" s="122">
        <f>IF(ROUND(AA133/VLOOKUP($C133,CapRate,17),0)&gt;10,AA133/VLOOKUP($C133,CapRate,17),10)</f>
        <v>65.054105665181424</v>
      </c>
      <c r="BB133" s="122">
        <f>IF(ROUND(AB133/VLOOKUP($C133,CapRate,18),0)&gt;10,AB133/VLOOKUP($C133,CapRate,18),10)</f>
        <v>73.893805309734503</v>
      </c>
      <c r="BC133" s="122">
        <f>IF(ROUND(AC133/VLOOKUP($C133,CapRate,19),0)&gt;10,AC133/VLOOKUP($C133,CapRate,19),10)</f>
        <v>82.356647763074989</v>
      </c>
      <c r="BD133" s="122">
        <f>IF(ROUND(AD133/VLOOKUP($C133,CapRate,20),0)&gt;10,AD133/VLOOKUP($C133,CapRate,20),10)</f>
        <v>90.548204158790156</v>
      </c>
      <c r="BE133" s="122">
        <f>IF(ROUND(AE133/VLOOKUP($C133,CapRate,21),0)&gt;10,AE133/VLOOKUP($C133,CapRate,21),10)</f>
        <v>99.49431099873577</v>
      </c>
      <c r="BF133" s="122">
        <f>IF(ROUND(AF133/VLOOKUP($C133,CapRate,22),0)&gt;10,AF133/VLOOKUP($C133,CapRate,22),10)</f>
        <v>103.74603174603175</v>
      </c>
      <c r="BG133" s="122">
        <f>IF(ROUND(AG133/VLOOKUP($C133,CapRate,23),0)&gt;10,AG133/VLOOKUP($C133,CapRate,23),10)</f>
        <v>109.06190172303765</v>
      </c>
      <c r="BH133" s="122">
        <f>IF(ROUND(AH133/VLOOKUP($C133,CapRate,24),0)&gt;10,AH133/VLOOKUP($C133,CapRate,24),10)</f>
        <v>112.13093709884467</v>
      </c>
      <c r="BI133" s="122">
        <f>IF(ROUND(AI133/VLOOKUP($C133,CapRate,25),0)&gt;10,AI133/VLOOKUP($C133,CapRate,25),10)</f>
        <v>115.34493874919409</v>
      </c>
      <c r="BJ133" s="122">
        <f>IF(ROUND(AJ133/VLOOKUP($C133,CapRate,26),0)&gt;10,AJ133/VLOOKUP($C133,CapRate,26),10)</f>
        <v>120.3378817413905</v>
      </c>
      <c r="BK133" s="75">
        <f t="shared" si="26"/>
        <v>4.3287057467281453E-2</v>
      </c>
      <c r="BL133" s="76"/>
      <c r="BM133" s="77">
        <f>BK133</f>
        <v>4.3287057467281453E-2</v>
      </c>
      <c r="BN133" s="77"/>
      <c r="BO133" s="77"/>
      <c r="BP133" s="77"/>
    </row>
    <row r="134" spans="1:68" ht="15.9" customHeight="1">
      <c r="A134" s="54"/>
      <c r="B134" s="22"/>
      <c r="C134" s="8" t="s">
        <v>92</v>
      </c>
      <c r="D134" s="124"/>
      <c r="E134" s="8" t="s">
        <v>85</v>
      </c>
      <c r="F134" s="188">
        <f>[1]AcreSummary!L42</f>
        <v>3.349912775618627E-2</v>
      </c>
      <c r="G134" s="25"/>
      <c r="H134" s="117"/>
      <c r="I134" s="57"/>
      <c r="J134" s="58">
        <f>[1]Tame!D9</f>
        <v>11.532999999999999</v>
      </c>
      <c r="K134" s="80">
        <f>[1]Tame!E9</f>
        <v>11.49</v>
      </c>
      <c r="L134" s="68">
        <f>[1]Tame!F9</f>
        <v>11.426</v>
      </c>
      <c r="M134" s="58">
        <f>[1]Tame!G9</f>
        <v>11.44</v>
      </c>
      <c r="N134" s="81">
        <f>[1]Tame!H9</f>
        <v>11.35</v>
      </c>
      <c r="O134" s="62">
        <v>11.38</v>
      </c>
      <c r="P134" s="81">
        <f>[1]Tame!I9</f>
        <v>10.77</v>
      </c>
      <c r="Q134" s="82">
        <f>[1]Tame!J9</f>
        <v>10.37</v>
      </c>
      <c r="R134" s="83">
        <v>10.37</v>
      </c>
      <c r="S134" s="84">
        <f>[1]Tame!K9</f>
        <v>9.64</v>
      </c>
      <c r="T134" s="66">
        <f>[1]Tame!L9</f>
        <v>8.3800000000000008</v>
      </c>
      <c r="U134" s="67">
        <f>[1]Tame!M9</f>
        <v>8.16</v>
      </c>
      <c r="V134" s="68">
        <f>[1]Tame!N9</f>
        <v>6.45</v>
      </c>
      <c r="W134" s="68">
        <f>[1]Tame!O9</f>
        <v>6.62</v>
      </c>
      <c r="X134" s="68">
        <v>7.86</v>
      </c>
      <c r="Y134" s="68">
        <v>9.16</v>
      </c>
      <c r="Z134" s="68">
        <v>9.1</v>
      </c>
      <c r="AA134" s="68">
        <v>9.5500000000000007</v>
      </c>
      <c r="AB134" s="68">
        <v>9.81</v>
      </c>
      <c r="AC134" s="68">
        <v>9.99</v>
      </c>
      <c r="AD134" s="68">
        <v>12.21</v>
      </c>
      <c r="AE134" s="68">
        <v>13.7</v>
      </c>
      <c r="AF134" s="68">
        <v>14.12</v>
      </c>
      <c r="AG134" s="69">
        <v>14.67</v>
      </c>
      <c r="AH134" s="70">
        <v>16.66</v>
      </c>
      <c r="AI134" s="70">
        <v>17.88</v>
      </c>
      <c r="AJ134" s="70">
        <v>19.350000000000001</v>
      </c>
      <c r="AK134" s="8">
        <f>ROUND(J134/VLOOKUP($C134,CapRate,2),0)</f>
        <v>76</v>
      </c>
      <c r="AL134" s="8">
        <f>ROUND(K134/VLOOKUP($C134,CapRate,3),0)</f>
        <v>75</v>
      </c>
      <c r="AM134" s="85">
        <f>ROUND(L134/VLOOKUP($C134,CapRate,4),0)</f>
        <v>74</v>
      </c>
      <c r="AN134" s="23">
        <f>ROUND(M134/VLOOKUP($C134,CapRate,5),0)</f>
        <v>76</v>
      </c>
      <c r="AO134" s="85">
        <f t="shared" si="17"/>
        <v>78</v>
      </c>
      <c r="AP134" s="72">
        <f t="shared" si="18"/>
        <v>75</v>
      </c>
      <c r="AQ134" s="71">
        <f t="shared" si="23"/>
        <v>72</v>
      </c>
      <c r="AR134" s="71">
        <f t="shared" si="23"/>
        <v>72</v>
      </c>
      <c r="AS134" s="71">
        <v>0</v>
      </c>
      <c r="AT134" s="71">
        <v>0</v>
      </c>
      <c r="AU134" s="71">
        <v>0</v>
      </c>
      <c r="AV134" s="72">
        <f t="shared" si="25"/>
        <v>43</v>
      </c>
      <c r="AW134" s="72">
        <f>IF(ROUND(W134/VLOOKUP($C134,CapRate,13),0)&gt;AW133,W134/VLOOKUP($C134,CapRate,13),AW133)</f>
        <v>43.438320209973753</v>
      </c>
      <c r="AX134" s="72">
        <f>IF(ROUND(X134/VLOOKUP($C134,CapRate,14),0)&gt;AX133,X134/VLOOKUP($C134,CapRate,14),AX133)</f>
        <v>51.338994121489222</v>
      </c>
      <c r="AY134" s="72">
        <f>IF(ROUND(Y134/VLOOKUP($C134,CapRate,15),0)&gt;AY133,Y134/VLOOKUP($C134,CapRate,15),AY133)</f>
        <v>59.211376858435685</v>
      </c>
      <c r="AZ134" s="72">
        <f>IF(ROUND(Z134/VLOOKUP($C134,CapRate,16),0)&gt;AZ133,Z134/VLOOKUP($C134,CapRate,16),AZ133)</f>
        <v>58.634020618556697</v>
      </c>
      <c r="BA134" s="72">
        <f>IF(ROUND(AA134/VLOOKUP($C134,CapRate,17),0)&gt;BA133,AA134/VLOOKUP($C134,CapRate,17),BA133)</f>
        <v>65.054105665181424</v>
      </c>
      <c r="BB134" s="72">
        <f>IF(ROUND(AB134/VLOOKUP($C134,CapRate,18),0)&gt;BB133,AB134/VLOOKUP($C134,CapRate,18),BB133)</f>
        <v>73.893805309734503</v>
      </c>
      <c r="BC134" s="72">
        <f>IF(ROUND(AC134/VLOOKUP($C134,CapRate,19),0)&gt;BC133,AC134/VLOOKUP($C134,CapRate,19),BC133)</f>
        <v>82.356647763074989</v>
      </c>
      <c r="BD134" s="72">
        <f>IF(ROUND(AD134/VLOOKUP($C134,CapRate,20),0)&gt;BD133,AD134/VLOOKUP($C134,CapRate,20),BD133)</f>
        <v>90.548204158790156</v>
      </c>
      <c r="BE134" s="72">
        <f>IF(ROUND(AE134/VLOOKUP($C134,CapRate,21),0)&gt;BE133,AE134/VLOOKUP($C134,CapRate,21),BE133)</f>
        <v>99.49431099873577</v>
      </c>
      <c r="BF134" s="72">
        <f>IF(ROUND(AF134/VLOOKUP($C134,CapRate,22),0)&gt;BF133,AF134/VLOOKUP($C134,CapRate,22),BF133)</f>
        <v>103.74603174603175</v>
      </c>
      <c r="BG134" s="72">
        <f>IF(ROUND(AG134/VLOOKUP($C134,CapRate,23),0)&gt;BG133,AG134/VLOOKUP($C134,CapRate,23),BG133)</f>
        <v>109.06190172303765</v>
      </c>
      <c r="BH134" s="72">
        <f>IF(ROUND(AH134/VLOOKUP($C134,CapRate,24),0)&gt;BH133,AH134/VLOOKUP($C134,CapRate,24),BH133)</f>
        <v>112.13093709884467</v>
      </c>
      <c r="BI134" s="72">
        <f>IF(ROUND(AI134/VLOOKUP($C134,CapRate,25),0)&gt;BI133,AI134/VLOOKUP($C134,CapRate,25),BI133)</f>
        <v>115.34493874919409</v>
      </c>
      <c r="BJ134" s="72">
        <f>IF(ROUND(AJ134/VLOOKUP($C134,CapRate,26),0)&gt;BJ133,AJ134/VLOOKUP($C134,CapRate,26),BJ133)</f>
        <v>125.73099415204679</v>
      </c>
      <c r="BK134" s="87">
        <f t="shared" si="26"/>
        <v>9.0043442872132617E-2</v>
      </c>
      <c r="BL134" s="76"/>
      <c r="BM134" s="77"/>
      <c r="BN134" s="77"/>
      <c r="BO134" s="77"/>
      <c r="BP134" s="77">
        <f>BK134</f>
        <v>9.0043442872132617E-2</v>
      </c>
    </row>
    <row r="135" spans="1:68" ht="15.9" customHeight="1">
      <c r="A135" s="54">
        <v>40</v>
      </c>
      <c r="B135" s="22"/>
      <c r="C135" s="8" t="s">
        <v>92</v>
      </c>
      <c r="D135" s="23"/>
      <c r="E135" s="8" t="s">
        <v>40</v>
      </c>
      <c r="F135" s="188">
        <f>[1]AcreSummary!J42</f>
        <v>0.54406308224563293</v>
      </c>
      <c r="G135" s="25"/>
      <c r="H135" s="117"/>
      <c r="I135" s="57">
        <f>[1]Dry!E42</f>
        <v>20.29</v>
      </c>
      <c r="J135" s="58">
        <f>[1]Dry!F42</f>
        <v>19.09</v>
      </c>
      <c r="K135" s="80">
        <f>[1]Dry!G42</f>
        <v>20.16</v>
      </c>
      <c r="L135" s="68">
        <f>[1]Dry!H42</f>
        <v>21.6</v>
      </c>
      <c r="M135" s="58">
        <f>[1]Dry!I42</f>
        <v>23.41</v>
      </c>
      <c r="N135" s="81">
        <f>[1]Dry!J42</f>
        <v>25.66</v>
      </c>
      <c r="O135" s="62">
        <v>25.72</v>
      </c>
      <c r="P135" s="81">
        <f>[1]Dry!K42</f>
        <v>27.45</v>
      </c>
      <c r="Q135" s="82">
        <f>[1]Dry!L42</f>
        <v>29.02</v>
      </c>
      <c r="R135" s="83">
        <f>Q135*0.95</f>
        <v>27.568999999999999</v>
      </c>
      <c r="S135" s="84">
        <f>[1]Dry!N42</f>
        <v>30.07</v>
      </c>
      <c r="T135" s="66">
        <f>[1]Dry!O42</f>
        <v>31.02</v>
      </c>
      <c r="U135" s="67">
        <f>[1]Dry!P42</f>
        <v>30.76</v>
      </c>
      <c r="V135" s="68">
        <f>[1]Dry!Q42</f>
        <v>29.95</v>
      </c>
      <c r="W135" s="68">
        <f>[1]Dry!R42</f>
        <v>32.99</v>
      </c>
      <c r="X135" s="68">
        <f>[1]Dry!S42</f>
        <v>37.15</v>
      </c>
      <c r="Y135" s="68">
        <f>[1]Dry!T42</f>
        <v>42.44</v>
      </c>
      <c r="Z135" s="68">
        <v>49.11</v>
      </c>
      <c r="AA135" s="68">
        <v>56.45</v>
      </c>
      <c r="AB135" s="68">
        <v>65.900000000000006</v>
      </c>
      <c r="AC135" s="68">
        <v>74.260000000000005</v>
      </c>
      <c r="AD135" s="68">
        <v>80.239999999999995</v>
      </c>
      <c r="AE135" s="68">
        <v>84.95</v>
      </c>
      <c r="AF135" s="68">
        <v>85.04</v>
      </c>
      <c r="AG135" s="69">
        <v>84.62</v>
      </c>
      <c r="AH135" s="70">
        <v>80.59</v>
      </c>
      <c r="AI135" s="70">
        <v>71.790000000000006</v>
      </c>
      <c r="AJ135" s="70">
        <v>65.040000000000006</v>
      </c>
      <c r="AK135" s="8">
        <f t="shared" si="19"/>
        <v>126</v>
      </c>
      <c r="AL135" s="8">
        <f t="shared" si="20"/>
        <v>132</v>
      </c>
      <c r="AM135" s="85">
        <f t="shared" si="21"/>
        <v>140</v>
      </c>
      <c r="AN135" s="23">
        <f t="shared" si="22"/>
        <v>155</v>
      </c>
      <c r="AO135" s="85">
        <f t="shared" si="17"/>
        <v>177</v>
      </c>
      <c r="AP135" s="72">
        <f t="shared" si="18"/>
        <v>191</v>
      </c>
      <c r="AQ135" s="71">
        <f t="shared" si="23"/>
        <v>200</v>
      </c>
      <c r="AR135" s="71">
        <f t="shared" si="23"/>
        <v>190</v>
      </c>
      <c r="AS135" s="71">
        <f t="shared" si="27"/>
        <v>207</v>
      </c>
      <c r="AT135" s="71">
        <f t="shared" si="28"/>
        <v>213</v>
      </c>
      <c r="AU135" s="71">
        <f t="shared" si="24"/>
        <v>210</v>
      </c>
      <c r="AV135" s="72">
        <f t="shared" si="25"/>
        <v>198</v>
      </c>
      <c r="AW135" s="72">
        <f>ROUND(W135/VLOOKUP($C135,CapRate,13),0)</f>
        <v>216</v>
      </c>
      <c r="AX135" s="72">
        <f>ROUND(X135/VLOOKUP($C135,CapRate,14),0)</f>
        <v>243</v>
      </c>
      <c r="AY135" s="72">
        <f>ROUND(Y135/VLOOKUP($C135,CapRate,15),0)</f>
        <v>274</v>
      </c>
      <c r="AZ135" s="72">
        <f>ROUND(Z135/VLOOKUP($C135,CapRate,16),0)</f>
        <v>316</v>
      </c>
      <c r="BA135" s="72">
        <f>ROUND(AA135/VLOOKUP($C135,CapRate,17),0)</f>
        <v>359</v>
      </c>
      <c r="BB135" s="72">
        <f>ROUND(AB135/VLOOKUP($C135,CapRate,18),0)</f>
        <v>417</v>
      </c>
      <c r="BC135" s="72">
        <f>ROUND(AC135/VLOOKUP($C135,CapRate,19),0)</f>
        <v>468</v>
      </c>
      <c r="BD135" s="72">
        <f>ROUND(AD135/VLOOKUP($C135,CapRate,20),0)</f>
        <v>506</v>
      </c>
      <c r="BE135" s="72">
        <f>ROUND(AE135/VLOOKUP($C135,CapRate,21),0)</f>
        <v>537</v>
      </c>
      <c r="BF135" s="72">
        <f>ROUND(AF135/VLOOKUP($C135,CapRate,22),0)</f>
        <v>540</v>
      </c>
      <c r="BG135" s="72">
        <f>ROUND(AG135/VLOOKUP($C135,CapRate,23),0)</f>
        <v>540</v>
      </c>
      <c r="BH135" s="72">
        <f>ROUND(AH135/VLOOKUP($C135,CapRate,24),0)</f>
        <v>517</v>
      </c>
      <c r="BI135" s="72">
        <f>ROUND(AI135/VLOOKUP($C135,CapRate,25),0)</f>
        <v>463</v>
      </c>
      <c r="BJ135" s="72">
        <f>ROUND(AJ135/VLOOKUP($C135,CapRate,26),0)</f>
        <v>423</v>
      </c>
      <c r="BK135" s="87">
        <f t="shared" si="26"/>
        <v>-8.639308855291572E-2</v>
      </c>
      <c r="BL135" s="76"/>
      <c r="BM135" s="77"/>
      <c r="BN135" s="77">
        <f>BK135</f>
        <v>-8.639308855291572E-2</v>
      </c>
      <c r="BO135" s="77"/>
      <c r="BP135" s="77"/>
    </row>
    <row r="136" spans="1:68" ht="15.9" customHeight="1" thickBot="1">
      <c r="A136" s="54">
        <v>40</v>
      </c>
      <c r="B136" s="22"/>
      <c r="C136" s="90" t="s">
        <v>92</v>
      </c>
      <c r="D136" s="91"/>
      <c r="E136" s="90" t="s">
        <v>41</v>
      </c>
      <c r="F136" s="190">
        <f>[1]AcreSummary!K42</f>
        <v>0.14976373516799923</v>
      </c>
      <c r="G136" s="191">
        <f>[1]Irrigated!D49</f>
        <v>100</v>
      </c>
      <c r="H136" s="94">
        <f>[1]Irrigated!E49</f>
        <v>0.8579</v>
      </c>
      <c r="I136" s="95"/>
      <c r="J136" s="96">
        <f>[1]Irrigated!H49</f>
        <v>42.94</v>
      </c>
      <c r="K136" s="97">
        <f>[1]Irrigated!I49</f>
        <v>42.68</v>
      </c>
      <c r="L136" s="98">
        <f>[1]Irrigated!J49</f>
        <v>41.42</v>
      </c>
      <c r="M136" s="96">
        <f>[1]Irrigated!K49</f>
        <v>40.24</v>
      </c>
      <c r="N136" s="99">
        <f>[1]Irrigated!L49</f>
        <v>40.92</v>
      </c>
      <c r="O136" s="100">
        <v>37.64</v>
      </c>
      <c r="P136" s="99">
        <f>[1]Irrigated!M49</f>
        <v>42.17</v>
      </c>
      <c r="Q136" s="101">
        <f>[1]Irrigated!N49</f>
        <v>41.07</v>
      </c>
      <c r="R136" s="102">
        <v>41.07</v>
      </c>
      <c r="S136" s="103">
        <f>[1]Irrigated!O49</f>
        <v>40.29</v>
      </c>
      <c r="T136" s="104">
        <f>[1]Irrigated!P49</f>
        <v>40.840000000000003</v>
      </c>
      <c r="U136" s="105">
        <f>[1]Irrigated!Q49</f>
        <v>40.06</v>
      </c>
      <c r="V136" s="98">
        <f>[1]Irrigated!R49</f>
        <v>46.07</v>
      </c>
      <c r="W136" s="98">
        <f>[1]Irrigated!S49</f>
        <v>52.84</v>
      </c>
      <c r="X136" s="98">
        <v>61.28</v>
      </c>
      <c r="Y136" s="98">
        <v>73.53</v>
      </c>
      <c r="Z136" s="98">
        <v>86.69</v>
      </c>
      <c r="AA136" s="98">
        <v>97.62</v>
      </c>
      <c r="AB136" s="98">
        <v>112.26</v>
      </c>
      <c r="AC136" s="98">
        <v>122.53</v>
      </c>
      <c r="AD136" s="98">
        <v>127.37</v>
      </c>
      <c r="AE136" s="98">
        <v>129.94</v>
      </c>
      <c r="AF136" s="98">
        <v>128.33000000000001</v>
      </c>
      <c r="AG136" s="106">
        <v>122.26</v>
      </c>
      <c r="AH136" s="107">
        <v>104.45</v>
      </c>
      <c r="AI136" s="107">
        <v>78.75</v>
      </c>
      <c r="AJ136" s="107">
        <v>56.53</v>
      </c>
      <c r="AK136" s="90">
        <f t="shared" si="19"/>
        <v>283</v>
      </c>
      <c r="AL136" s="90">
        <f t="shared" si="20"/>
        <v>280</v>
      </c>
      <c r="AM136" s="108">
        <f t="shared" si="21"/>
        <v>269</v>
      </c>
      <c r="AN136" s="91">
        <f t="shared" si="22"/>
        <v>267</v>
      </c>
      <c r="AO136" s="108">
        <f t="shared" si="17"/>
        <v>259</v>
      </c>
      <c r="AP136" s="109">
        <f t="shared" si="18"/>
        <v>293</v>
      </c>
      <c r="AQ136" s="110">
        <f t="shared" si="23"/>
        <v>284</v>
      </c>
      <c r="AR136" s="110">
        <f t="shared" si="23"/>
        <v>284</v>
      </c>
      <c r="AS136" s="110">
        <f t="shared" si="27"/>
        <v>277</v>
      </c>
      <c r="AT136" s="110">
        <f t="shared" si="28"/>
        <v>280</v>
      </c>
      <c r="AU136" s="110">
        <f t="shared" si="24"/>
        <v>274</v>
      </c>
      <c r="AV136" s="109">
        <f t="shared" si="25"/>
        <v>305</v>
      </c>
      <c r="AW136" s="109">
        <f>ROUND(W136/VLOOKUP($C136,CapRate,13),0)</f>
        <v>347</v>
      </c>
      <c r="AX136" s="109">
        <f>ROUND(X136/VLOOKUP($C136,CapRate,14),0)</f>
        <v>400</v>
      </c>
      <c r="AY136" s="109">
        <f>ROUND(Y136/VLOOKUP($C136,CapRate,15),0)</f>
        <v>475</v>
      </c>
      <c r="AZ136" s="109">
        <f>ROUND(Z136/VLOOKUP($C136,CapRate,16),0)</f>
        <v>559</v>
      </c>
      <c r="BA136" s="109">
        <f>ROUND(AA136/VLOOKUP($C136,CapRate,17),0)</f>
        <v>621</v>
      </c>
      <c r="BB136" s="109">
        <f>ROUND(AB136/VLOOKUP($C136,CapRate,18),0)</f>
        <v>710</v>
      </c>
      <c r="BC136" s="109">
        <f>ROUND(AC136/VLOOKUP($C136,CapRate,19),0)</f>
        <v>772</v>
      </c>
      <c r="BD136" s="109">
        <f>ROUND(AD136/VLOOKUP($C136,CapRate,20),0)</f>
        <v>803</v>
      </c>
      <c r="BE136" s="109">
        <f>ROUND(AE136/VLOOKUP($C136,CapRate,21),0)</f>
        <v>821</v>
      </c>
      <c r="BF136" s="109">
        <f>ROUND(AF136/VLOOKUP($C136,CapRate,22),0)</f>
        <v>815</v>
      </c>
      <c r="BG136" s="109">
        <f>ROUND(AG136/VLOOKUP($C136,CapRate,23),0)</f>
        <v>780</v>
      </c>
      <c r="BH136" s="109">
        <f>ROUND(AH136/VLOOKUP($C136,CapRate,24),0)</f>
        <v>670</v>
      </c>
      <c r="BI136" s="109">
        <f>ROUND(AI136/VLOOKUP($C136,CapRate,25),0)</f>
        <v>508</v>
      </c>
      <c r="BJ136" s="109">
        <f>ROUND(AJ136/VLOOKUP($C136,CapRate,26),0)</f>
        <v>367</v>
      </c>
      <c r="BK136" s="193">
        <f t="shared" si="26"/>
        <v>-0.27755905511811019</v>
      </c>
      <c r="BL136" s="114">
        <f>((F133*BK133)+(F134*BK134)+(F135*BK135)+(F136*BK136))</f>
        <v>-7.3751936589356845E-2</v>
      </c>
      <c r="BM136" s="120"/>
      <c r="BN136" s="115"/>
      <c r="BO136" s="115">
        <f>BK136</f>
        <v>-0.27755905511811019</v>
      </c>
      <c r="BP136" s="115"/>
    </row>
    <row r="137" spans="1:68" ht="15.9" customHeight="1" thickTop="1">
      <c r="A137" s="54">
        <v>40</v>
      </c>
      <c r="B137" s="22"/>
      <c r="C137" s="8" t="s">
        <v>94</v>
      </c>
      <c r="D137" s="23" t="s">
        <v>94</v>
      </c>
      <c r="E137" s="8" t="s">
        <v>39</v>
      </c>
      <c r="F137" s="188">
        <f>[1]AcreSummary!M43</f>
        <v>0.47011486384533407</v>
      </c>
      <c r="G137" s="25"/>
      <c r="H137" s="117"/>
      <c r="I137" s="57">
        <f>[1]Native!E41</f>
        <v>5.45</v>
      </c>
      <c r="J137" s="58">
        <f>[1]Native!F41</f>
        <v>5.7957999999999998</v>
      </c>
      <c r="K137" s="80">
        <f>[1]Native!G41</f>
        <v>6.1828000000000003</v>
      </c>
      <c r="L137" s="68">
        <f>[1]Native!H41</f>
        <v>6.3883299999999998</v>
      </c>
      <c r="M137" s="58">
        <f>[1]Native!I41</f>
        <v>6.6382000000000003</v>
      </c>
      <c r="N137" s="81">
        <f>[1]Native!J41</f>
        <v>6.85</v>
      </c>
      <c r="O137" s="62">
        <v>6.92</v>
      </c>
      <c r="P137" s="81">
        <f>[1]Native!K41</f>
        <v>6.88</v>
      </c>
      <c r="Q137" s="82">
        <f>[1]Native!L41</f>
        <v>6.79</v>
      </c>
      <c r="R137" s="83">
        <v>6.79</v>
      </c>
      <c r="S137" s="84">
        <f>[1]Native!M41</f>
        <v>6.78</v>
      </c>
      <c r="T137" s="66">
        <f>[1]Native!N41</f>
        <v>6.63</v>
      </c>
      <c r="U137" s="67">
        <f>[1]Native!O41</f>
        <v>6.45</v>
      </c>
      <c r="V137" s="68">
        <f>[1]Native!P41</f>
        <v>2.7</v>
      </c>
      <c r="W137" s="68">
        <f>[1]Native!Q41</f>
        <v>2.11</v>
      </c>
      <c r="X137" s="68">
        <v>2.2999999999999998</v>
      </c>
      <c r="Y137" s="68">
        <v>2.44</v>
      </c>
      <c r="Z137" s="68">
        <v>3.52</v>
      </c>
      <c r="AA137" s="68">
        <v>4.63</v>
      </c>
      <c r="AB137" s="68">
        <v>5.71</v>
      </c>
      <c r="AC137" s="68">
        <v>6.85</v>
      </c>
      <c r="AD137" s="68">
        <v>7.95</v>
      </c>
      <c r="AE137" s="68">
        <v>9.1199999999999992</v>
      </c>
      <c r="AF137" s="68">
        <v>9.5299999999999994</v>
      </c>
      <c r="AG137" s="69">
        <v>10.06</v>
      </c>
      <c r="AH137" s="70">
        <v>10.29</v>
      </c>
      <c r="AI137" s="70">
        <v>10.53</v>
      </c>
      <c r="AJ137" s="70">
        <v>10.99</v>
      </c>
      <c r="AK137" s="8">
        <f t="shared" si="19"/>
        <v>38</v>
      </c>
      <c r="AL137" s="8">
        <f t="shared" si="20"/>
        <v>41</v>
      </c>
      <c r="AM137" s="85">
        <f t="shared" si="21"/>
        <v>41</v>
      </c>
      <c r="AN137" s="23">
        <f t="shared" si="22"/>
        <v>44</v>
      </c>
      <c r="AO137" s="85">
        <f t="shared" ref="AO137:AO200" si="29">ROUND(O137/VLOOKUP($C137,CapRate,6),0)</f>
        <v>47</v>
      </c>
      <c r="AP137" s="72">
        <f t="shared" ref="AP137:AP200" si="30">ROUND(P137/VLOOKUP($C137,CapRate,7),0)</f>
        <v>47</v>
      </c>
      <c r="AQ137" s="71">
        <f t="shared" si="23"/>
        <v>46</v>
      </c>
      <c r="AR137" s="71">
        <f t="shared" si="23"/>
        <v>46</v>
      </c>
      <c r="AS137" s="71">
        <f t="shared" si="27"/>
        <v>46</v>
      </c>
      <c r="AT137" s="71">
        <f t="shared" si="28"/>
        <v>45</v>
      </c>
      <c r="AU137" s="71">
        <f t="shared" si="24"/>
        <v>43</v>
      </c>
      <c r="AV137" s="72">
        <f t="shared" si="25"/>
        <v>18</v>
      </c>
      <c r="AW137" s="122">
        <f>IF(ROUND(W137/VLOOKUP($C137,CapRate,13),0)&gt;10,W137/VLOOKUP($C137,CapRate,13),10)</f>
        <v>14.218328840970349</v>
      </c>
      <c r="AX137" s="122">
        <f>IF(ROUND(X137/VLOOKUP($C137,CapRate,14),0)&gt;10,X137/VLOOKUP($C137,CapRate,14),10)</f>
        <v>15.509103169251517</v>
      </c>
      <c r="AY137" s="122">
        <f>IF(ROUND(Y137/VLOOKUP($C137,CapRate,15),0)&gt;10,Y137/VLOOKUP($C137,CapRate,15),10)</f>
        <v>16.587355540448673</v>
      </c>
      <c r="AZ137" s="122">
        <f>IF(ROUND(Z137/VLOOKUP($C137,CapRate,16),0)&gt;10,Z137/VLOOKUP($C137,CapRate,16),10)</f>
        <v>23.945578231292519</v>
      </c>
      <c r="BA137" s="122">
        <f>IF(ROUND(AA137/VLOOKUP($C137,CapRate,17),0)&gt;10,AA137/VLOOKUP($C137,CapRate,17),10)</f>
        <v>31.368563685636854</v>
      </c>
      <c r="BB137" s="122">
        <f>IF(ROUND(AB137/VLOOKUP($C137,CapRate,18),0)&gt;10,AB137/VLOOKUP($C137,CapRate,18),10)</f>
        <v>38.581081081081081</v>
      </c>
      <c r="BC137" s="122">
        <f>IF(ROUND(AC137/VLOOKUP($C137,CapRate,19),0)&gt;10,AC137/VLOOKUP($C137,CapRate,19),10)</f>
        <v>45.880776959142665</v>
      </c>
      <c r="BD137" s="122">
        <f>IF(ROUND(AD137/VLOOKUP($C137,CapRate,20),0)&gt;10,AD137/VLOOKUP($C137,CapRate,20),10)</f>
        <v>53.177257525083618</v>
      </c>
      <c r="BE137" s="122">
        <f>IF(ROUND(AE137/VLOOKUP($C137,CapRate,21),0)&gt;10,AE137/VLOOKUP($C137,CapRate,21),10)</f>
        <v>60.962566844919778</v>
      </c>
      <c r="BF137" s="122">
        <f>IF(ROUND(AF137/VLOOKUP($C137,CapRate,22),0)&gt;10,AF137/VLOOKUP($C137,CapRate,22),10)</f>
        <v>63.618157543391192</v>
      </c>
      <c r="BG137" s="122">
        <f>IF(ROUND(AG137/VLOOKUP($C137,CapRate,23),0)&gt;10,AG137/VLOOKUP($C137,CapRate,23),10)</f>
        <v>66.9328010645376</v>
      </c>
      <c r="BH137" s="122">
        <f>IF(ROUND(AH137/VLOOKUP($C137,CapRate,24),0)&gt;10,AH137/VLOOKUP($C137,CapRate,24),10)</f>
        <v>68.326693227091624</v>
      </c>
      <c r="BI137" s="122">
        <f>IF(ROUND(AI137/VLOOKUP($C137,CapRate,25),0)&gt;10,AI137/VLOOKUP($C137,CapRate,25),10)</f>
        <v>69.87392169873921</v>
      </c>
      <c r="BJ137" s="122">
        <f>IF(ROUND(AJ137/VLOOKUP($C137,CapRate,26),0)&gt;10,AJ137/VLOOKUP($C137,CapRate,26),10)</f>
        <v>73.462566844919778</v>
      </c>
      <c r="BK137" s="75">
        <f t="shared" si="26"/>
        <v>5.1358862633372526E-2</v>
      </c>
      <c r="BL137" s="76"/>
      <c r="BM137" s="77">
        <f>BK137</f>
        <v>5.1358862633372526E-2</v>
      </c>
      <c r="BN137" s="77"/>
      <c r="BO137" s="77"/>
      <c r="BP137" s="77"/>
    </row>
    <row r="138" spans="1:68" ht="15.9" customHeight="1">
      <c r="A138" s="54"/>
      <c r="B138" s="22"/>
      <c r="C138" s="8" t="s">
        <v>94</v>
      </c>
      <c r="D138" s="23"/>
      <c r="E138" s="8" t="s">
        <v>85</v>
      </c>
      <c r="F138" s="188">
        <f>[1]AcreSummary!L43</f>
        <v>0</v>
      </c>
      <c r="G138" s="25"/>
      <c r="H138" s="117"/>
      <c r="I138" s="205"/>
      <c r="J138" s="58">
        <f>[1]Tame!D10</f>
        <v>0</v>
      </c>
      <c r="K138" s="80">
        <f>[1]Tame!E10</f>
        <v>0</v>
      </c>
      <c r="L138" s="68">
        <f>[1]Tame!F10</f>
        <v>0</v>
      </c>
      <c r="M138" s="58">
        <f>[1]Tame!G10</f>
        <v>0</v>
      </c>
      <c r="N138" s="81">
        <f>[1]Tame!H10</f>
        <v>0</v>
      </c>
      <c r="O138" s="62">
        <v>0</v>
      </c>
      <c r="P138" s="81">
        <f>[1]Tame!I10</f>
        <v>0</v>
      </c>
      <c r="Q138" s="82">
        <f>[1]Tame!J10</f>
        <v>0</v>
      </c>
      <c r="R138" s="83">
        <v>0</v>
      </c>
      <c r="S138" s="84">
        <f>[1]Tame!K10</f>
        <v>0</v>
      </c>
      <c r="T138" s="66">
        <f>[1]Tame!L10</f>
        <v>0</v>
      </c>
      <c r="U138" s="67">
        <f>[1]Tame!M10</f>
        <v>0</v>
      </c>
      <c r="V138" s="68">
        <f>[1]Tame!N10</f>
        <v>0</v>
      </c>
      <c r="W138" s="68">
        <f>[1]Tame!O10</f>
        <v>0</v>
      </c>
      <c r="X138" s="68">
        <v>0</v>
      </c>
      <c r="Y138" s="68">
        <v>0</v>
      </c>
      <c r="Z138" s="68">
        <v>0</v>
      </c>
      <c r="AA138" s="68">
        <v>0</v>
      </c>
      <c r="AB138" s="68">
        <v>0</v>
      </c>
      <c r="AC138" s="68">
        <v>0</v>
      </c>
      <c r="AD138" s="68">
        <v>0</v>
      </c>
      <c r="AE138" s="68">
        <v>0</v>
      </c>
      <c r="AF138" s="68">
        <v>0</v>
      </c>
      <c r="AG138" s="69">
        <v>0</v>
      </c>
      <c r="AH138" s="70">
        <v>0</v>
      </c>
      <c r="AI138" s="70">
        <v>0</v>
      </c>
      <c r="AJ138" s="70">
        <v>0</v>
      </c>
      <c r="AK138" s="8">
        <f>ROUND(J138/VLOOKUP($C138,CapRate,2),0)</f>
        <v>0</v>
      </c>
      <c r="AL138" s="8">
        <f>ROUND(K138/VLOOKUP($C138,CapRate,3),0)</f>
        <v>0</v>
      </c>
      <c r="AM138" s="85">
        <f>ROUND(L138/VLOOKUP($C138,CapRate,4),0)</f>
        <v>0</v>
      </c>
      <c r="AN138" s="23">
        <f>ROUND(M138/VLOOKUP($C138,CapRate,5),0)</f>
        <v>0</v>
      </c>
      <c r="AO138" s="85">
        <f t="shared" si="29"/>
        <v>0</v>
      </c>
      <c r="AP138" s="72">
        <f t="shared" si="30"/>
        <v>0</v>
      </c>
      <c r="AQ138" s="71">
        <f t="shared" si="23"/>
        <v>0</v>
      </c>
      <c r="AR138" s="71">
        <f t="shared" si="23"/>
        <v>0</v>
      </c>
      <c r="AS138" s="71">
        <f t="shared" si="27"/>
        <v>0</v>
      </c>
      <c r="AT138" s="71">
        <f t="shared" si="28"/>
        <v>0</v>
      </c>
      <c r="AU138" s="71">
        <f t="shared" si="24"/>
        <v>0</v>
      </c>
      <c r="AV138" s="72">
        <f>IF(ROUND(V138/VLOOKUP($C138,CapRate,12),0)&gt;AV137,V138/VLOOKUP($C138,CapRate,12),AV137)</f>
        <v>18</v>
      </c>
      <c r="AW138" s="72">
        <f>IF(ROUND(W138/VLOOKUP($C138,CapRate,13),0)&gt;AW137,W138/VLOOKUP($C138,CapRate,13),AW137)</f>
        <v>14.218328840970349</v>
      </c>
      <c r="AX138" s="72">
        <f>IF(ROUND(X138/VLOOKUP($C138,CapRate,14),0)&gt;AX137,X138/VLOOKUP($C138,CapRate,14),AX137)</f>
        <v>15.509103169251517</v>
      </c>
      <c r="AY138" s="72">
        <f>IF(ROUND(Y138/VLOOKUP($C138,CapRate,15),0)&gt;AY137,Y138/VLOOKUP($C138,CapRate,15),AY137)</f>
        <v>16.587355540448673</v>
      </c>
      <c r="AZ138" s="72">
        <f>IF(ROUND(Z138/VLOOKUP($C138,CapRate,16),0)&gt;AZ137,Z138/VLOOKUP($C138,CapRate,16),AZ137)</f>
        <v>23.945578231292519</v>
      </c>
      <c r="BA138" s="72">
        <f>IF(ROUND(AA138/VLOOKUP($C138,CapRate,17),0)&gt;BA137,AA138/VLOOKUP($C138,CapRate,17),BA137)</f>
        <v>31.368563685636854</v>
      </c>
      <c r="BB138" s="72">
        <f>IF(ROUND(AB138/VLOOKUP($C138,CapRate,18),0)&gt;BB137,AB138/VLOOKUP($C138,CapRate,18),BB137)</f>
        <v>38.581081081081081</v>
      </c>
      <c r="BC138" s="72">
        <f>IF(ROUND(AC138/VLOOKUP($C138,CapRate,19),0)&gt;BC137,AC138/VLOOKUP($C138,CapRate,19),BC137)</f>
        <v>45.880776959142665</v>
      </c>
      <c r="BD138" s="72">
        <f>IF(ROUND(AD138/VLOOKUP($C138,CapRate,20),0)&gt;BD137,AD138/VLOOKUP($C138,CapRate,20),BD137)</f>
        <v>53.177257525083618</v>
      </c>
      <c r="BE138" s="72">
        <f>IF(ROUND(AE138/VLOOKUP($C138,CapRate,21),0)&gt;BE137,AE138/VLOOKUP($C138,CapRate,21),BE137)</f>
        <v>60.962566844919778</v>
      </c>
      <c r="BF138" s="72">
        <f>IF(ROUND(AF138/VLOOKUP($C138,CapRate,22),0)&gt;BF137,AF138/VLOOKUP($C138,CapRate,22),BF137)</f>
        <v>63.618157543391192</v>
      </c>
      <c r="BG138" s="72">
        <f>IF(ROUND(AG138/VLOOKUP($C138,CapRate,23),0)&gt;BG137,AG138/VLOOKUP($C138,CapRate,23),BG137)</f>
        <v>66.9328010645376</v>
      </c>
      <c r="BH138" s="72">
        <f>IF(ROUND(AH138/VLOOKUP($C138,CapRate,24),0)&gt;BH137,AH138/VLOOKUP($C138,CapRate,24),BH137)</f>
        <v>68.326693227091624</v>
      </c>
      <c r="BI138" s="72">
        <f>IF(ROUND(AI138/VLOOKUP($C138,CapRate,25),0)&gt;BI137,AI138/VLOOKUP($C138,CapRate,25),BI137)</f>
        <v>69.87392169873921</v>
      </c>
      <c r="BJ138" s="72">
        <f>IF(ROUND(AJ138/VLOOKUP($C138,CapRate,26),0)&gt;BJ137,AJ138/VLOOKUP($C138,CapRate,26),BJ137)</f>
        <v>73.462566844919778</v>
      </c>
      <c r="BK138" s="87">
        <f t="shared" si="26"/>
        <v>5.1358862633372526E-2</v>
      </c>
      <c r="BL138" s="76"/>
      <c r="BM138" s="77"/>
      <c r="BN138" s="77"/>
      <c r="BO138" s="77"/>
      <c r="BP138" s="77">
        <f>BK138</f>
        <v>5.1358862633372526E-2</v>
      </c>
    </row>
    <row r="139" spans="1:68" ht="15.9" customHeight="1">
      <c r="A139" s="54">
        <v>40</v>
      </c>
      <c r="B139" s="22"/>
      <c r="C139" s="8" t="s">
        <v>94</v>
      </c>
      <c r="D139" s="23"/>
      <c r="E139" s="8" t="s">
        <v>40</v>
      </c>
      <c r="F139" s="188">
        <f>[1]AcreSummary!J43</f>
        <v>0.52508060660544731</v>
      </c>
      <c r="G139" s="25"/>
      <c r="H139" s="117"/>
      <c r="I139" s="57">
        <f>[1]Dry!E43</f>
        <v>11.14</v>
      </c>
      <c r="J139" s="58">
        <f>[1]Dry!F43</f>
        <v>10.98</v>
      </c>
      <c r="K139" s="80">
        <f>[1]Dry!G43</f>
        <v>10.71</v>
      </c>
      <c r="L139" s="68">
        <f>[1]Dry!H43</f>
        <v>10.74</v>
      </c>
      <c r="M139" s="58">
        <f>[1]Dry!I43</f>
        <v>11.43</v>
      </c>
      <c r="N139" s="81">
        <f>[1]Dry!J43</f>
        <v>11.91</v>
      </c>
      <c r="O139" s="62">
        <v>11.91</v>
      </c>
      <c r="P139" s="81">
        <f>[1]Dry!K43</f>
        <v>12.39</v>
      </c>
      <c r="Q139" s="82">
        <f>[1]Dry!L43</f>
        <v>13.14</v>
      </c>
      <c r="R139" s="83">
        <f>Q139*0.95</f>
        <v>12.483000000000001</v>
      </c>
      <c r="S139" s="84">
        <f>[1]Dry!N43</f>
        <v>13.36</v>
      </c>
      <c r="T139" s="66">
        <f>[1]Dry!O43</f>
        <v>13.55</v>
      </c>
      <c r="U139" s="67">
        <f>[1]Dry!P43</f>
        <v>13.31</v>
      </c>
      <c r="V139" s="68">
        <f>[1]Dry!Q43</f>
        <v>9.73</v>
      </c>
      <c r="W139" s="68">
        <f>[1]Dry!R43</f>
        <v>11.23</v>
      </c>
      <c r="X139" s="68">
        <f>[1]Dry!S43</f>
        <v>13.42</v>
      </c>
      <c r="Y139" s="68">
        <f>[1]Dry!T43</f>
        <v>17.23</v>
      </c>
      <c r="Z139" s="68">
        <v>21.04</v>
      </c>
      <c r="AA139" s="68">
        <v>25.31</v>
      </c>
      <c r="AB139" s="68">
        <v>30.41</v>
      </c>
      <c r="AC139" s="68">
        <v>34.270000000000003</v>
      </c>
      <c r="AD139" s="68">
        <v>36.54</v>
      </c>
      <c r="AE139" s="68">
        <v>37.549999999999997</v>
      </c>
      <c r="AF139" s="68">
        <v>36.03</v>
      </c>
      <c r="AG139" s="69">
        <v>33.119999999999997</v>
      </c>
      <c r="AH139" s="70">
        <v>28.37</v>
      </c>
      <c r="AI139" s="70">
        <v>22.59</v>
      </c>
      <c r="AJ139" s="70">
        <v>17.91</v>
      </c>
      <c r="AK139" s="8">
        <f t="shared" si="19"/>
        <v>73</v>
      </c>
      <c r="AL139" s="8">
        <f t="shared" si="20"/>
        <v>71</v>
      </c>
      <c r="AM139" s="85">
        <f t="shared" si="21"/>
        <v>70</v>
      </c>
      <c r="AN139" s="23">
        <f t="shared" si="22"/>
        <v>75</v>
      </c>
      <c r="AO139" s="85">
        <f t="shared" si="29"/>
        <v>81</v>
      </c>
      <c r="AP139" s="72">
        <f t="shared" si="30"/>
        <v>85</v>
      </c>
      <c r="AQ139" s="71">
        <f t="shared" si="23"/>
        <v>89</v>
      </c>
      <c r="AR139" s="71">
        <f t="shared" si="23"/>
        <v>85</v>
      </c>
      <c r="AS139" s="71">
        <f t="shared" si="27"/>
        <v>90</v>
      </c>
      <c r="AT139" s="71">
        <f t="shared" si="28"/>
        <v>91</v>
      </c>
      <c r="AU139" s="71">
        <f t="shared" si="24"/>
        <v>89</v>
      </c>
      <c r="AV139" s="72">
        <f t="shared" si="25"/>
        <v>65</v>
      </c>
      <c r="AW139" s="72">
        <f>ROUND(W139/VLOOKUP($C139,CapRate,13),0)</f>
        <v>76</v>
      </c>
      <c r="AX139" s="72">
        <f>ROUND(X139/VLOOKUP($C139,CapRate,14),0)</f>
        <v>90</v>
      </c>
      <c r="AY139" s="72">
        <f>ROUND(Y139/VLOOKUP($C139,CapRate,15),0)</f>
        <v>117</v>
      </c>
      <c r="AZ139" s="72">
        <f>ROUND(Z139/VLOOKUP($C139,CapRate,16),0)</f>
        <v>143</v>
      </c>
      <c r="BA139" s="72">
        <f>ROUND(AA139/VLOOKUP($C139,CapRate,17),0)</f>
        <v>171</v>
      </c>
      <c r="BB139" s="72">
        <f>ROUND(AB139/VLOOKUP($C139,CapRate,18),0)</f>
        <v>205</v>
      </c>
      <c r="BC139" s="72">
        <f>ROUND(AC139/VLOOKUP($C139,CapRate,19),0)</f>
        <v>230</v>
      </c>
      <c r="BD139" s="72">
        <f>ROUND(AD139/VLOOKUP($C139,CapRate,20),0)</f>
        <v>244</v>
      </c>
      <c r="BE139" s="72">
        <f>ROUND(AE139/VLOOKUP($C139,CapRate,21),0)</f>
        <v>251</v>
      </c>
      <c r="BF139" s="72">
        <f>ROUND(AF139/VLOOKUP($C139,CapRate,22),0)</f>
        <v>241</v>
      </c>
      <c r="BG139" s="72">
        <f>ROUND(AG139/VLOOKUP($C139,CapRate,23),0)</f>
        <v>220</v>
      </c>
      <c r="BH139" s="72">
        <f>ROUND(AH139/VLOOKUP($C139,CapRate,24),0)</f>
        <v>188</v>
      </c>
      <c r="BI139" s="72">
        <f>ROUND(AI139/VLOOKUP($C139,CapRate,25),0)</f>
        <v>150</v>
      </c>
      <c r="BJ139" s="72">
        <f>ROUND(AJ139/VLOOKUP($C139,CapRate,26),0)</f>
        <v>120</v>
      </c>
      <c r="BK139" s="87">
        <f t="shared" si="26"/>
        <v>-0.19999999999999996</v>
      </c>
      <c r="BL139" s="76"/>
      <c r="BM139" s="77"/>
      <c r="BN139" s="77">
        <f>BK139</f>
        <v>-0.19999999999999996</v>
      </c>
      <c r="BO139" s="77"/>
      <c r="BP139" s="77"/>
    </row>
    <row r="140" spans="1:68" ht="15.9" customHeight="1" thickBot="1">
      <c r="A140" s="54">
        <v>40</v>
      </c>
      <c r="B140" s="22"/>
      <c r="C140" s="90" t="s">
        <v>94</v>
      </c>
      <c r="D140" s="91"/>
      <c r="E140" s="90" t="s">
        <v>41</v>
      </c>
      <c r="F140" s="190">
        <f>[1]AcreSummary!K43</f>
        <v>4.8045295492185553E-3</v>
      </c>
      <c r="G140" s="191">
        <f>[1]Irrigated!D50</f>
        <v>100</v>
      </c>
      <c r="H140" s="94">
        <f>[1]Irrigated!E50</f>
        <v>1</v>
      </c>
      <c r="I140" s="95"/>
      <c r="J140" s="96">
        <f>[1]Irrigated!H50</f>
        <v>54.83</v>
      </c>
      <c r="K140" s="97">
        <f>[1]Irrigated!I50</f>
        <v>53.95</v>
      </c>
      <c r="L140" s="98">
        <f>[1]Irrigated!J50</f>
        <v>52.08</v>
      </c>
      <c r="M140" s="96">
        <f>[1]Irrigated!K50</f>
        <v>50.31</v>
      </c>
      <c r="N140" s="99">
        <f>[1]Irrigated!L50</f>
        <v>50.38</v>
      </c>
      <c r="O140" s="100">
        <v>41.09</v>
      </c>
      <c r="P140" s="99">
        <f>[1]Irrigated!M50</f>
        <v>48.3</v>
      </c>
      <c r="Q140" s="101">
        <f>[1]Irrigated!N50</f>
        <v>45.8</v>
      </c>
      <c r="R140" s="102">
        <v>45.8</v>
      </c>
      <c r="S140" s="103">
        <f>[1]Irrigated!O50</f>
        <v>43.75</v>
      </c>
      <c r="T140" s="104">
        <f>[1]Irrigated!P50</f>
        <v>43.72</v>
      </c>
      <c r="U140" s="105">
        <f>[1]Irrigated!Q50</f>
        <v>42.66</v>
      </c>
      <c r="V140" s="98">
        <f>[1]Irrigated!R50</f>
        <v>51.16</v>
      </c>
      <c r="W140" s="98">
        <f>[1]Irrigated!S50</f>
        <v>58.52</v>
      </c>
      <c r="X140" s="98">
        <v>67.599999999999994</v>
      </c>
      <c r="Y140" s="98">
        <v>80.650000000000006</v>
      </c>
      <c r="Z140" s="98">
        <v>94.87</v>
      </c>
      <c r="AA140" s="98">
        <v>106.83</v>
      </c>
      <c r="AB140" s="98">
        <v>122.02</v>
      </c>
      <c r="AC140" s="98">
        <v>132.87</v>
      </c>
      <c r="AD140" s="98">
        <v>137.87</v>
      </c>
      <c r="AE140" s="98">
        <v>140.91</v>
      </c>
      <c r="AF140" s="98">
        <v>139.63</v>
      </c>
      <c r="AG140" s="106">
        <v>133.93</v>
      </c>
      <c r="AH140" s="107">
        <v>116.04</v>
      </c>
      <c r="AI140" s="107">
        <v>90.91</v>
      </c>
      <c r="AJ140" s="107">
        <v>68.989999999999995</v>
      </c>
      <c r="AK140" s="90">
        <f t="shared" si="19"/>
        <v>363</v>
      </c>
      <c r="AL140" s="90">
        <f t="shared" si="20"/>
        <v>355</v>
      </c>
      <c r="AM140" s="108">
        <f t="shared" si="21"/>
        <v>338</v>
      </c>
      <c r="AN140" s="91">
        <f t="shared" si="22"/>
        <v>331</v>
      </c>
      <c r="AO140" s="108">
        <f t="shared" si="29"/>
        <v>279</v>
      </c>
      <c r="AP140" s="109">
        <f t="shared" si="30"/>
        <v>331</v>
      </c>
      <c r="AQ140" s="110">
        <f t="shared" si="23"/>
        <v>311</v>
      </c>
      <c r="AR140" s="110">
        <f t="shared" si="23"/>
        <v>311</v>
      </c>
      <c r="AS140" s="110">
        <f t="shared" si="27"/>
        <v>296</v>
      </c>
      <c r="AT140" s="110">
        <f t="shared" si="28"/>
        <v>294</v>
      </c>
      <c r="AU140" s="110">
        <f t="shared" si="24"/>
        <v>286</v>
      </c>
      <c r="AV140" s="109">
        <f t="shared" si="25"/>
        <v>344</v>
      </c>
      <c r="AW140" s="109">
        <f>ROUND(W140/VLOOKUP($C140,CapRate,13),0)</f>
        <v>394</v>
      </c>
      <c r="AX140" s="109">
        <f>ROUND(X140/VLOOKUP($C140,CapRate,14),0)</f>
        <v>456</v>
      </c>
      <c r="AY140" s="109">
        <f>ROUND(Y140/VLOOKUP($C140,CapRate,15),0)</f>
        <v>548</v>
      </c>
      <c r="AZ140" s="109">
        <f>ROUND(Z140/VLOOKUP($C140,CapRate,16),0)</f>
        <v>645</v>
      </c>
      <c r="BA140" s="109">
        <f>ROUND(AA140/VLOOKUP($C140,CapRate,17),0)</f>
        <v>724</v>
      </c>
      <c r="BB140" s="109">
        <f>ROUND(AB140/VLOOKUP($C140,CapRate,18),0)</f>
        <v>824</v>
      </c>
      <c r="BC140" s="109">
        <f>ROUND(AC140/VLOOKUP($C140,CapRate,19),0)</f>
        <v>890</v>
      </c>
      <c r="BD140" s="109">
        <f>ROUND(AD140/VLOOKUP($C140,CapRate,20),0)</f>
        <v>922</v>
      </c>
      <c r="BE140" s="109">
        <f>ROUND(AE140/VLOOKUP($C140,CapRate,21),0)</f>
        <v>942</v>
      </c>
      <c r="BF140" s="109">
        <f>ROUND(AF140/VLOOKUP($C140,CapRate,22),0)</f>
        <v>932</v>
      </c>
      <c r="BG140" s="109">
        <f>ROUND(AG140/VLOOKUP($C140,CapRate,23),0)</f>
        <v>891</v>
      </c>
      <c r="BH140" s="109">
        <f>ROUND(AH140/VLOOKUP($C140,CapRate,24),0)</f>
        <v>771</v>
      </c>
      <c r="BI140" s="109">
        <f>ROUND(AI140/VLOOKUP($C140,CapRate,25),0)</f>
        <v>603</v>
      </c>
      <c r="BJ140" s="109">
        <f>ROUND(AJ140/VLOOKUP($C140,CapRate,26),0)</f>
        <v>461</v>
      </c>
      <c r="BK140" s="193">
        <f t="shared" si="26"/>
        <v>-0.23548922056384747</v>
      </c>
      <c r="BL140" s="114">
        <f>((F137*BK137)+(F138*BK138)+(F139*BK139)+(F140*BK140))</f>
        <v>-8.200297152567175E-2</v>
      </c>
      <c r="BM140" s="120"/>
      <c r="BN140" s="115"/>
      <c r="BO140" s="115">
        <f>BK140</f>
        <v>-0.23548922056384747</v>
      </c>
      <c r="BP140" s="115"/>
    </row>
    <row r="141" spans="1:68" ht="15.9" customHeight="1" thickTop="1">
      <c r="A141" s="54">
        <v>40</v>
      </c>
      <c r="B141" s="22"/>
      <c r="C141" s="8" t="s">
        <v>95</v>
      </c>
      <c r="D141" s="23" t="s">
        <v>95</v>
      </c>
      <c r="E141" s="8" t="s">
        <v>39</v>
      </c>
      <c r="F141" s="188">
        <f>[1]AcreSummary!M44</f>
        <v>0.39179933230635983</v>
      </c>
      <c r="G141" s="25"/>
      <c r="H141" s="117"/>
      <c r="I141" s="57">
        <f>[1]Native!E42</f>
        <v>5.89</v>
      </c>
      <c r="J141" s="58">
        <f>[1]Native!F42</f>
        <v>5.9398</v>
      </c>
      <c r="K141" s="80">
        <f>[1]Native!G42</f>
        <v>6.2849000000000004</v>
      </c>
      <c r="L141" s="68">
        <f>[1]Native!H42</f>
        <v>6.5019999999999998</v>
      </c>
      <c r="M141" s="58">
        <f>[1]Native!I42</f>
        <v>6.7640000000000002</v>
      </c>
      <c r="N141" s="81">
        <f>[1]Native!J42</f>
        <v>6.99</v>
      </c>
      <c r="O141" s="62">
        <v>7</v>
      </c>
      <c r="P141" s="81">
        <f>[1]Native!K42</f>
        <v>7.03</v>
      </c>
      <c r="Q141" s="82">
        <f>[1]Native!L42</f>
        <v>6.94</v>
      </c>
      <c r="R141" s="83">
        <v>6.94</v>
      </c>
      <c r="S141" s="84">
        <f>[1]Native!M42</f>
        <v>6.93</v>
      </c>
      <c r="T141" s="66">
        <f>[1]Native!N42</f>
        <v>6.8</v>
      </c>
      <c r="U141" s="67">
        <f>[1]Native!O42</f>
        <v>6.04</v>
      </c>
      <c r="V141" s="68">
        <f>[1]Native!P42</f>
        <v>3.16</v>
      </c>
      <c r="W141" s="68">
        <f>[1]Native!Q42</f>
        <v>2.59</v>
      </c>
      <c r="X141" s="68">
        <v>2.79</v>
      </c>
      <c r="Y141" s="68">
        <v>3</v>
      </c>
      <c r="Z141" s="68">
        <v>4.08</v>
      </c>
      <c r="AA141" s="68">
        <v>5.21</v>
      </c>
      <c r="AB141" s="68">
        <v>6.31</v>
      </c>
      <c r="AC141" s="68">
        <v>7.48</v>
      </c>
      <c r="AD141" s="68">
        <v>8.6</v>
      </c>
      <c r="AE141" s="68">
        <v>9.7899999999999991</v>
      </c>
      <c r="AF141" s="68">
        <v>10.23</v>
      </c>
      <c r="AG141" s="69">
        <v>10.78</v>
      </c>
      <c r="AH141" s="70">
        <v>11.02</v>
      </c>
      <c r="AI141" s="70">
        <v>11.28</v>
      </c>
      <c r="AJ141" s="70">
        <v>11.76</v>
      </c>
      <c r="AK141" s="8">
        <f t="shared" si="19"/>
        <v>39</v>
      </c>
      <c r="AL141" s="8">
        <f t="shared" si="20"/>
        <v>41</v>
      </c>
      <c r="AM141" s="85">
        <f t="shared" si="21"/>
        <v>42</v>
      </c>
      <c r="AN141" s="23">
        <f t="shared" si="22"/>
        <v>45</v>
      </c>
      <c r="AO141" s="85">
        <f t="shared" si="29"/>
        <v>49</v>
      </c>
      <c r="AP141" s="72">
        <f t="shared" si="30"/>
        <v>49</v>
      </c>
      <c r="AQ141" s="71">
        <f t="shared" si="23"/>
        <v>49</v>
      </c>
      <c r="AR141" s="71">
        <f t="shared" si="23"/>
        <v>49</v>
      </c>
      <c r="AS141" s="71">
        <f t="shared" si="27"/>
        <v>48</v>
      </c>
      <c r="AT141" s="71">
        <f t="shared" si="28"/>
        <v>47</v>
      </c>
      <c r="AU141" s="71">
        <f t="shared" si="24"/>
        <v>42</v>
      </c>
      <c r="AV141" s="72">
        <f t="shared" si="25"/>
        <v>20</v>
      </c>
      <c r="AW141" s="122">
        <f>IF(ROUND(W141/VLOOKUP($C141,CapRate,13),0)&gt;10,W141/VLOOKUP($C141,CapRate,13),10)</f>
        <v>16.507329509241554</v>
      </c>
      <c r="AX141" s="122">
        <f>IF(ROUND(X141/VLOOKUP($C141,CapRate,14),0)&gt;10,X141/VLOOKUP($C141,CapRate,14),10)</f>
        <v>17.647058823529413</v>
      </c>
      <c r="AY141" s="122">
        <f>IF(ROUND(Y141/VLOOKUP($C141,CapRate,15),0)&gt;10,Y141/VLOOKUP($C141,CapRate,15),10)</f>
        <v>18.633540372670808</v>
      </c>
      <c r="AZ141" s="122">
        <f>IF(ROUND(Z141/VLOOKUP($C141,CapRate,16),0)&gt;10,Z141/VLOOKUP($C141,CapRate,16),10)</f>
        <v>25.169648365206665</v>
      </c>
      <c r="BA141" s="122">
        <f>IF(ROUND(AA141/VLOOKUP($C141,CapRate,17),0)&gt;10,AA141/VLOOKUP($C141,CapRate,17),10)</f>
        <v>31.556632344033918</v>
      </c>
      <c r="BB141" s="122">
        <f>IF(ROUND(AB141/VLOOKUP($C141,CapRate,18),0)&gt;10,AB141/VLOOKUP($C141,CapRate,18),10)</f>
        <v>37.920673076923073</v>
      </c>
      <c r="BC141" s="122">
        <f>IF(ROUND(AC141/VLOOKUP($C141,CapRate,19),0)&gt;10,AC141/VLOOKUP($C141,CapRate,19),10)</f>
        <v>44.710101613867309</v>
      </c>
      <c r="BD141" s="122">
        <f>IF(ROUND(AD141/VLOOKUP($C141,CapRate,20),0)&gt;10,AD141/VLOOKUP($C141,CapRate,20),10)</f>
        <v>51.49700598802395</v>
      </c>
      <c r="BE141" s="122">
        <f>IF(ROUND(AE141/VLOOKUP($C141,CapRate,21),0)&gt;10,AE141/VLOOKUP($C141,CapRate,21),10)</f>
        <v>58.904933814681108</v>
      </c>
      <c r="BF141" s="122">
        <f>IF(ROUND(AF141/VLOOKUP($C141,CapRate,22),0)&gt;10,AF141/VLOOKUP($C141,CapRate,22),10)</f>
        <v>62.075242718446603</v>
      </c>
      <c r="BG141" s="122">
        <f>IF(ROUND(AG141/VLOOKUP($C141,CapRate,23),0)&gt;10,AG141/VLOOKUP($C141,CapRate,23),10)</f>
        <v>66.013472137170851</v>
      </c>
      <c r="BH141" s="122">
        <f>IF(ROUND(AH141/VLOOKUP($C141,CapRate,24),0)&gt;10,AH141/VLOOKUP($C141,CapRate,24),10)</f>
        <v>68.235294117647058</v>
      </c>
      <c r="BI141" s="122">
        <f>IF(ROUND(AI141/VLOOKUP($C141,CapRate,25),0)&gt;10,AI141/VLOOKUP($C141,CapRate,25),10)</f>
        <v>70.588235294117638</v>
      </c>
      <c r="BJ141" s="122">
        <f>IF(ROUND(AJ141/VLOOKUP($C141,CapRate,26),0)&gt;10,AJ141/VLOOKUP($C141,CapRate,26),10)</f>
        <v>74.714104193138496</v>
      </c>
      <c r="BK141" s="75">
        <f t="shared" si="26"/>
        <v>5.8449809402795427E-2</v>
      </c>
      <c r="BL141" s="76"/>
      <c r="BM141" s="77">
        <f>BK141</f>
        <v>5.8449809402795427E-2</v>
      </c>
      <c r="BN141" s="77"/>
      <c r="BO141" s="77"/>
      <c r="BP141" s="77"/>
    </row>
    <row r="142" spans="1:68" ht="15.9" customHeight="1">
      <c r="A142" s="54"/>
      <c r="B142" s="22"/>
      <c r="C142" s="8" t="s">
        <v>95</v>
      </c>
      <c r="D142" s="23"/>
      <c r="E142" s="8" t="s">
        <v>85</v>
      </c>
      <c r="F142" s="188">
        <f>[1]AcreSummary!L44</f>
        <v>1.9194360188887347E-2</v>
      </c>
      <c r="G142" s="25"/>
      <c r="H142" s="117"/>
      <c r="I142" s="57"/>
      <c r="J142" s="58">
        <f>[1]Tame!D11</f>
        <v>7.79</v>
      </c>
      <c r="K142" s="80">
        <f>[1]Tame!E11</f>
        <v>7.0510000000000002</v>
      </c>
      <c r="L142" s="68">
        <f>[1]Tame!F11</f>
        <v>6.22</v>
      </c>
      <c r="M142" s="58">
        <f>[1]Tame!G11</f>
        <v>5.4160000000000004</v>
      </c>
      <c r="N142" s="81">
        <f>[1]Tame!H11</f>
        <v>4.51</v>
      </c>
      <c r="O142" s="62">
        <v>7.04</v>
      </c>
      <c r="P142" s="81">
        <f>[1]Tame!I11</f>
        <v>3.34</v>
      </c>
      <c r="Q142" s="82">
        <f>[1]Tame!J11</f>
        <v>2.81</v>
      </c>
      <c r="R142" s="83">
        <v>2.81</v>
      </c>
      <c r="S142" s="84">
        <f>[1]Tame!K11</f>
        <v>1.64</v>
      </c>
      <c r="T142" s="66">
        <f>[1]Tame!L11</f>
        <v>-0.61</v>
      </c>
      <c r="U142" s="67">
        <f>[1]Tame!M11</f>
        <v>-0.88</v>
      </c>
      <c r="V142" s="68">
        <f>[1]Tame!N11</f>
        <v>-3.16</v>
      </c>
      <c r="W142" s="68">
        <f>[1]Tame!O11</f>
        <v>-4.37</v>
      </c>
      <c r="X142" s="68">
        <v>-4.5</v>
      </c>
      <c r="Y142" s="68">
        <v>-4.59</v>
      </c>
      <c r="Z142" s="68">
        <v>-5.14</v>
      </c>
      <c r="AA142" s="68">
        <v>-5.01</v>
      </c>
      <c r="AB142" s="68">
        <v>-4.97</v>
      </c>
      <c r="AC142" s="68">
        <v>-4.96</v>
      </c>
      <c r="AD142" s="68">
        <v>-2.91</v>
      </c>
      <c r="AE142" s="68">
        <v>-1.06</v>
      </c>
      <c r="AF142" s="68">
        <v>-0.3</v>
      </c>
      <c r="AG142" s="69">
        <v>0.52</v>
      </c>
      <c r="AH142" s="70">
        <v>1.81</v>
      </c>
      <c r="AI142" s="70">
        <v>2.1800000000000002</v>
      </c>
      <c r="AJ142" s="70">
        <v>2.79</v>
      </c>
      <c r="AK142" s="8">
        <f>ROUND(J142/VLOOKUP($C142,CapRate,2),0)</f>
        <v>51</v>
      </c>
      <c r="AL142" s="8">
        <f>ROUND(K142/VLOOKUP($C142,CapRate,3),0)</f>
        <v>46</v>
      </c>
      <c r="AM142" s="85">
        <f>ROUND(L142/VLOOKUP($C142,CapRate,4),0)</f>
        <v>40</v>
      </c>
      <c r="AN142" s="23">
        <f>ROUND(M142/VLOOKUP($C142,CapRate,5),0)</f>
        <v>36</v>
      </c>
      <c r="AO142" s="85">
        <f t="shared" si="29"/>
        <v>49</v>
      </c>
      <c r="AP142" s="72">
        <f t="shared" si="30"/>
        <v>24</v>
      </c>
      <c r="AQ142" s="71">
        <f t="shared" si="23"/>
        <v>20</v>
      </c>
      <c r="AR142" s="71">
        <f t="shared" si="23"/>
        <v>20</v>
      </c>
      <c r="AS142" s="71">
        <v>0</v>
      </c>
      <c r="AT142" s="71">
        <v>0</v>
      </c>
      <c r="AU142" s="71">
        <v>0</v>
      </c>
      <c r="AV142" s="72">
        <f>IF(ROUND(V142/VLOOKUP($C142,CapRate,12),0)&gt;AV141,V142/VLOOKUP($C142,CapRate,12),AV141)</f>
        <v>20</v>
      </c>
      <c r="AW142" s="72">
        <f>IF(ROUND(W142/VLOOKUP($C142,CapRate,13),0)&gt;AW141,W142/VLOOKUP($C142,CapRate,13),AW141)</f>
        <v>16.507329509241554</v>
      </c>
      <c r="AX142" s="72">
        <f>IF(ROUND(X142/VLOOKUP($C142,CapRate,14),0)&gt;AX141,X142/VLOOKUP($C142,CapRate,14),AX141)</f>
        <v>17.647058823529413</v>
      </c>
      <c r="AY142" s="72">
        <f>IF(ROUND(Y142/VLOOKUP($C142,CapRate,15),0)&gt;AY141,Y142/VLOOKUP($C142,CapRate,15),AY141)</f>
        <v>18.633540372670808</v>
      </c>
      <c r="AZ142" s="72">
        <f>IF(ROUND(Z142/VLOOKUP($C142,CapRate,16),0)&gt;AZ141,Z142/VLOOKUP($C142,CapRate,16),AZ141)</f>
        <v>25.169648365206665</v>
      </c>
      <c r="BA142" s="72">
        <f>IF(ROUND(AA142/VLOOKUP($C142,CapRate,17),0)&gt;BA141,AA142/VLOOKUP($C142,CapRate,17),BA141)</f>
        <v>31.556632344033918</v>
      </c>
      <c r="BB142" s="72">
        <f>IF(ROUND(AB142/VLOOKUP($C142,CapRate,18),0)&gt;BB141,AB142/VLOOKUP($C142,CapRate,18),BB141)</f>
        <v>37.920673076923073</v>
      </c>
      <c r="BC142" s="72">
        <f>IF(ROUND(AC142/VLOOKUP($C142,CapRate,19),0)&gt;BC141,AC142/VLOOKUP($C142,CapRate,19),BC141)</f>
        <v>44.710101613867309</v>
      </c>
      <c r="BD142" s="72">
        <f>IF(ROUND(AD142/VLOOKUP($C142,CapRate,20),0)&gt;BD141,AD142/VLOOKUP($C142,CapRate,20),BD141)</f>
        <v>51.49700598802395</v>
      </c>
      <c r="BE142" s="72">
        <f>IF(ROUND(AE142/VLOOKUP($C142,CapRate,21),0)&gt;BE141,AE142/VLOOKUP($C142,CapRate,21),BE141)</f>
        <v>58.904933814681108</v>
      </c>
      <c r="BF142" s="72">
        <f>IF(ROUND(AF142/VLOOKUP($C142,CapRate,22),0)&gt;BF141,AF142/VLOOKUP($C142,CapRate,22),BF141)</f>
        <v>62.075242718446603</v>
      </c>
      <c r="BG142" s="72">
        <f>IF(ROUND(AG142/VLOOKUP($C142,CapRate,23),0)&gt;BG141,AG142/VLOOKUP($C142,CapRate,23),BG141)</f>
        <v>66.013472137170851</v>
      </c>
      <c r="BH142" s="72">
        <f>IF(ROUND(AH142/VLOOKUP($C142,CapRate,24),0)&gt;BH141,AH142/VLOOKUP($C142,CapRate,24),BH141)</f>
        <v>68.235294117647058</v>
      </c>
      <c r="BI142" s="72">
        <f>IF(ROUND(AI142/VLOOKUP($C142,CapRate,25),0)&gt;BI141,AI142/VLOOKUP($C142,CapRate,25),BI141)</f>
        <v>70.588235294117638</v>
      </c>
      <c r="BJ142" s="72">
        <f>IF(ROUND(AJ142/VLOOKUP($C142,CapRate,26),0)&gt;BJ141,AJ142/VLOOKUP($C142,CapRate,26),BJ141)</f>
        <v>74.714104193138496</v>
      </c>
      <c r="BK142" s="87">
        <f t="shared" si="26"/>
        <v>5.8449809402795427E-2</v>
      </c>
      <c r="BL142" s="76"/>
      <c r="BM142" s="77"/>
      <c r="BN142" s="77"/>
      <c r="BO142" s="77"/>
      <c r="BP142" s="77">
        <f>BK142</f>
        <v>5.8449809402795427E-2</v>
      </c>
    </row>
    <row r="143" spans="1:68" ht="15.9" customHeight="1">
      <c r="A143" s="54">
        <v>40</v>
      </c>
      <c r="B143" s="22"/>
      <c r="C143" s="8" t="s">
        <v>95</v>
      </c>
      <c r="D143" s="23"/>
      <c r="E143" s="8" t="s">
        <v>40</v>
      </c>
      <c r="F143" s="188">
        <f>[1]AcreSummary!J44</f>
        <v>0.57317543749590039</v>
      </c>
      <c r="G143" s="25"/>
      <c r="H143" s="117"/>
      <c r="I143" s="57">
        <f>[1]Dry!E44</f>
        <v>18.850000000000001</v>
      </c>
      <c r="J143" s="58">
        <f>[1]Dry!F44</f>
        <v>18.260000000000002</v>
      </c>
      <c r="K143" s="80">
        <f>[1]Dry!G44</f>
        <v>18.579999999999998</v>
      </c>
      <c r="L143" s="68">
        <f>[1]Dry!H44</f>
        <v>19.27</v>
      </c>
      <c r="M143" s="58">
        <f>[1]Dry!I44</f>
        <v>20.58</v>
      </c>
      <c r="N143" s="81">
        <f>[1]Dry!J44</f>
        <v>21.8</v>
      </c>
      <c r="O143" s="62">
        <v>21.8</v>
      </c>
      <c r="P143" s="81">
        <f>[1]Dry!K44</f>
        <v>22.89</v>
      </c>
      <c r="Q143" s="82">
        <f>[1]Dry!L44</f>
        <v>23.99</v>
      </c>
      <c r="R143" s="83">
        <f>Q143*0.95</f>
        <v>22.790499999999998</v>
      </c>
      <c r="S143" s="84">
        <f>[1]Dry!N44</f>
        <v>24.31</v>
      </c>
      <c r="T143" s="66">
        <f>[1]Dry!O44</f>
        <v>24.39</v>
      </c>
      <c r="U143" s="67">
        <f>[1]Dry!P44</f>
        <v>23.67</v>
      </c>
      <c r="V143" s="68">
        <f>[1]Dry!Q44</f>
        <v>19.059999999999999</v>
      </c>
      <c r="W143" s="68">
        <f>[1]Dry!R44</f>
        <v>21.44</v>
      </c>
      <c r="X143" s="68">
        <f>[1]Dry!S44</f>
        <v>25.08</v>
      </c>
      <c r="Y143" s="68">
        <f>[1]Dry!T44</f>
        <v>30.9</v>
      </c>
      <c r="Z143" s="68">
        <v>37.11</v>
      </c>
      <c r="AA143" s="68">
        <v>43.77</v>
      </c>
      <c r="AB143" s="68">
        <v>51.75</v>
      </c>
      <c r="AC143" s="68">
        <v>58.75</v>
      </c>
      <c r="AD143" s="68">
        <v>63.74</v>
      </c>
      <c r="AE143" s="68">
        <v>67.08</v>
      </c>
      <c r="AF143" s="68">
        <v>66.16</v>
      </c>
      <c r="AG143" s="69">
        <v>63.34</v>
      </c>
      <c r="AH143" s="70">
        <v>57.87</v>
      </c>
      <c r="AI143" s="70">
        <v>50.09</v>
      </c>
      <c r="AJ143" s="70">
        <v>42.62</v>
      </c>
      <c r="AK143" s="8">
        <f t="shared" si="19"/>
        <v>120</v>
      </c>
      <c r="AL143" s="8">
        <f t="shared" si="20"/>
        <v>122</v>
      </c>
      <c r="AM143" s="85">
        <f t="shared" si="21"/>
        <v>125</v>
      </c>
      <c r="AN143" s="23">
        <f t="shared" si="22"/>
        <v>137</v>
      </c>
      <c r="AO143" s="85">
        <f t="shared" si="29"/>
        <v>152</v>
      </c>
      <c r="AP143" s="72">
        <f t="shared" si="30"/>
        <v>161</v>
      </c>
      <c r="AQ143" s="71">
        <f t="shared" si="23"/>
        <v>168</v>
      </c>
      <c r="AR143" s="71">
        <f t="shared" si="23"/>
        <v>160</v>
      </c>
      <c r="AS143" s="71">
        <f t="shared" si="27"/>
        <v>170</v>
      </c>
      <c r="AT143" s="71">
        <f t="shared" si="28"/>
        <v>169</v>
      </c>
      <c r="AU143" s="71">
        <f t="shared" si="24"/>
        <v>163</v>
      </c>
      <c r="AV143" s="72">
        <f t="shared" si="25"/>
        <v>123</v>
      </c>
      <c r="AW143" s="72">
        <f>ROUND(W143/VLOOKUP($C143,CapRate,13),0)</f>
        <v>137</v>
      </c>
      <c r="AX143" s="72">
        <f>ROUND(X143/VLOOKUP($C143,CapRate,14),0)</f>
        <v>159</v>
      </c>
      <c r="AY143" s="72">
        <f>ROUND(Y143/VLOOKUP($C143,CapRate,15),0)</f>
        <v>192</v>
      </c>
      <c r="AZ143" s="72">
        <f>ROUND(Z143/VLOOKUP($C143,CapRate,16),0)</f>
        <v>229</v>
      </c>
      <c r="BA143" s="72">
        <f>ROUND(AA143/VLOOKUP($C143,CapRate,17),0)</f>
        <v>265</v>
      </c>
      <c r="BB143" s="72">
        <f>ROUND(AB143/VLOOKUP($C143,CapRate,18),0)</f>
        <v>311</v>
      </c>
      <c r="BC143" s="72">
        <f>ROUND(AC143/VLOOKUP($C143,CapRate,19),0)</f>
        <v>351</v>
      </c>
      <c r="BD143" s="72">
        <f>ROUND(AD143/VLOOKUP($C143,CapRate,20),0)</f>
        <v>382</v>
      </c>
      <c r="BE143" s="72">
        <f>ROUND(AE143/VLOOKUP($C143,CapRate,21),0)</f>
        <v>404</v>
      </c>
      <c r="BF143" s="72">
        <f>ROUND(AF143/VLOOKUP($C143,CapRate,22),0)</f>
        <v>401</v>
      </c>
      <c r="BG143" s="72">
        <f>ROUND(AG143/VLOOKUP($C143,CapRate,23),0)</f>
        <v>388</v>
      </c>
      <c r="BH143" s="72">
        <f>ROUND(AH143/VLOOKUP($C143,CapRate,24),0)</f>
        <v>358</v>
      </c>
      <c r="BI143" s="72">
        <f>ROUND(AI143/VLOOKUP($C143,CapRate,25),0)</f>
        <v>313</v>
      </c>
      <c r="BJ143" s="72">
        <f>ROUND(AJ143/VLOOKUP($C143,CapRate,26),0)</f>
        <v>271</v>
      </c>
      <c r="BK143" s="87">
        <f t="shared" si="26"/>
        <v>-0.13418530351437696</v>
      </c>
      <c r="BL143" s="76"/>
      <c r="BM143" s="77"/>
      <c r="BN143" s="77">
        <f>BK143</f>
        <v>-0.13418530351437696</v>
      </c>
      <c r="BO143" s="77"/>
      <c r="BP143" s="77"/>
    </row>
    <row r="144" spans="1:68" ht="15.9" customHeight="1" thickBot="1">
      <c r="A144" s="54">
        <v>40</v>
      </c>
      <c r="B144" s="22"/>
      <c r="C144" s="90" t="s">
        <v>95</v>
      </c>
      <c r="D144" s="91"/>
      <c r="E144" s="90" t="s">
        <v>41</v>
      </c>
      <c r="F144" s="190">
        <f>[1]AcreSummary!K44</f>
        <v>1.5830870008852419E-2</v>
      </c>
      <c r="G144" s="191">
        <f>[1]Irrigated!D51</f>
        <v>100</v>
      </c>
      <c r="H144" s="94">
        <f>[1]Irrigated!E51</f>
        <v>0.98640000000000005</v>
      </c>
      <c r="I144" s="95"/>
      <c r="J144" s="96">
        <f>[1]Irrigated!H51</f>
        <v>62.07</v>
      </c>
      <c r="K144" s="97">
        <f>[1]Irrigated!I51</f>
        <v>62.06</v>
      </c>
      <c r="L144" s="98">
        <f>[1]Irrigated!J51</f>
        <v>61.11</v>
      </c>
      <c r="M144" s="96">
        <f>[1]Irrigated!K51</f>
        <v>60.28</v>
      </c>
      <c r="N144" s="99">
        <f>[1]Irrigated!L51</f>
        <v>61.39</v>
      </c>
      <c r="O144" s="100">
        <v>40.26</v>
      </c>
      <c r="P144" s="99">
        <f>[1]Irrigated!M51</f>
        <v>60.32</v>
      </c>
      <c r="Q144" s="101">
        <f>[1]Irrigated!N51</f>
        <v>56.85</v>
      </c>
      <c r="R144" s="102">
        <v>56.85</v>
      </c>
      <c r="S144" s="103">
        <f>[1]Irrigated!O51</f>
        <v>53.82</v>
      </c>
      <c r="T144" s="104">
        <f>[1]Irrigated!P51</f>
        <v>52.91</v>
      </c>
      <c r="U144" s="105">
        <f>[1]Irrigated!Q51</f>
        <v>50.59</v>
      </c>
      <c r="V144" s="98">
        <f>[1]Irrigated!R51</f>
        <v>51.48</v>
      </c>
      <c r="W144" s="98">
        <f>[1]Irrigated!S51</f>
        <v>58.89</v>
      </c>
      <c r="X144" s="98">
        <v>68.02</v>
      </c>
      <c r="Y144" s="98">
        <v>81.13</v>
      </c>
      <c r="Z144" s="98">
        <v>95.18</v>
      </c>
      <c r="AA144" s="98">
        <v>107.2</v>
      </c>
      <c r="AB144" s="98">
        <v>122.81</v>
      </c>
      <c r="AC144" s="98">
        <v>133.76</v>
      </c>
      <c r="AD144" s="98">
        <v>139.04</v>
      </c>
      <c r="AE144" s="98">
        <v>142.13</v>
      </c>
      <c r="AF144" s="98">
        <v>140.77000000000001</v>
      </c>
      <c r="AG144" s="106">
        <v>135.12</v>
      </c>
      <c r="AH144" s="107">
        <v>117.44</v>
      </c>
      <c r="AI144" s="107">
        <v>92.15</v>
      </c>
      <c r="AJ144" s="107">
        <v>70.430000000000007</v>
      </c>
      <c r="AK144" s="90">
        <f t="shared" si="19"/>
        <v>407</v>
      </c>
      <c r="AL144" s="90">
        <f t="shared" si="20"/>
        <v>407</v>
      </c>
      <c r="AM144" s="108">
        <f t="shared" si="21"/>
        <v>397</v>
      </c>
      <c r="AN144" s="91">
        <f t="shared" si="22"/>
        <v>401</v>
      </c>
      <c r="AO144" s="108">
        <f t="shared" si="29"/>
        <v>281</v>
      </c>
      <c r="AP144" s="109">
        <f t="shared" si="30"/>
        <v>424</v>
      </c>
      <c r="AQ144" s="110">
        <f t="shared" si="23"/>
        <v>398</v>
      </c>
      <c r="AR144" s="110">
        <f t="shared" si="23"/>
        <v>398</v>
      </c>
      <c r="AS144" s="110">
        <f t="shared" si="27"/>
        <v>375</v>
      </c>
      <c r="AT144" s="110">
        <f t="shared" si="28"/>
        <v>367</v>
      </c>
      <c r="AU144" s="110">
        <f t="shared" si="24"/>
        <v>349</v>
      </c>
      <c r="AV144" s="109">
        <f t="shared" si="25"/>
        <v>333</v>
      </c>
      <c r="AW144" s="109">
        <f>ROUND(W144/VLOOKUP($C144,CapRate,13),0)</f>
        <v>375</v>
      </c>
      <c r="AX144" s="109">
        <f>ROUND(X144/VLOOKUP($C144,CapRate,14),0)</f>
        <v>430</v>
      </c>
      <c r="AY144" s="109">
        <f>ROUND(Y144/VLOOKUP($C144,CapRate,15),0)</f>
        <v>504</v>
      </c>
      <c r="AZ144" s="109">
        <f>ROUND(Z144/VLOOKUP($C144,CapRate,16),0)</f>
        <v>587</v>
      </c>
      <c r="BA144" s="109">
        <f>ROUND(AA144/VLOOKUP($C144,CapRate,17),0)</f>
        <v>649</v>
      </c>
      <c r="BB144" s="109">
        <f>ROUND(AB144/VLOOKUP($C144,CapRate,18),0)</f>
        <v>738</v>
      </c>
      <c r="BC144" s="109">
        <f>ROUND(AC144/VLOOKUP($C144,CapRate,19),0)</f>
        <v>800</v>
      </c>
      <c r="BD144" s="109">
        <f>ROUND(AD144/VLOOKUP($C144,CapRate,20),0)</f>
        <v>833</v>
      </c>
      <c r="BE144" s="109">
        <f>ROUND(AE144/VLOOKUP($C144,CapRate,21),0)</f>
        <v>855</v>
      </c>
      <c r="BF144" s="109">
        <f>ROUND(AF144/VLOOKUP($C144,CapRate,22),0)</f>
        <v>854</v>
      </c>
      <c r="BG144" s="109">
        <f>ROUND(AG144/VLOOKUP($C144,CapRate,23),0)</f>
        <v>827</v>
      </c>
      <c r="BH144" s="109">
        <f>ROUND(AH144/VLOOKUP($C144,CapRate,24),0)</f>
        <v>727</v>
      </c>
      <c r="BI144" s="109">
        <f>ROUND(AI144/VLOOKUP($C144,CapRate,25),0)</f>
        <v>577</v>
      </c>
      <c r="BJ144" s="109">
        <f>ROUND(AJ144/VLOOKUP($C144,CapRate,26),0)</f>
        <v>447</v>
      </c>
      <c r="BK144" s="193">
        <f t="shared" si="26"/>
        <v>-0.22530329289428075</v>
      </c>
      <c r="BL144" s="114">
        <f>((F141*BK141)+(F142*BK142)+(F143*BK143)+(F144*BK144))</f>
        <v>-5.6455964197650643E-2</v>
      </c>
      <c r="BM144" s="120"/>
      <c r="BN144" s="115"/>
      <c r="BO144" s="115">
        <f>BK144</f>
        <v>-0.22530329289428075</v>
      </c>
      <c r="BP144" s="115"/>
    </row>
    <row r="145" spans="1:69" ht="15.9" customHeight="1" thickTop="1">
      <c r="A145" s="54">
        <v>40</v>
      </c>
      <c r="B145" s="22"/>
      <c r="C145" s="8" t="s">
        <v>96</v>
      </c>
      <c r="D145" s="23" t="s">
        <v>96</v>
      </c>
      <c r="E145" s="8" t="s">
        <v>39</v>
      </c>
      <c r="F145" s="188">
        <f>[1]AcreSummary!M45</f>
        <v>0.41714572097422731</v>
      </c>
      <c r="G145" s="25"/>
      <c r="H145" s="117"/>
      <c r="I145" s="57">
        <f>[1]Native!E43</f>
        <v>7.94</v>
      </c>
      <c r="J145" s="58">
        <f>[1]Native!F43</f>
        <v>8.1880000000000006</v>
      </c>
      <c r="K145" s="80">
        <f>[1]Native!G43</f>
        <v>8.6747999999999994</v>
      </c>
      <c r="L145" s="68">
        <f>[1]Native!H43</f>
        <v>9.0053999999999998</v>
      </c>
      <c r="M145" s="58">
        <f>[1]Native!I43</f>
        <v>9.3928999999999991</v>
      </c>
      <c r="N145" s="81">
        <f>[1]Native!J43</f>
        <v>9.76</v>
      </c>
      <c r="O145" s="62">
        <v>9.9</v>
      </c>
      <c r="P145" s="81">
        <f>[1]Native!K43</f>
        <v>9.8000000000000007</v>
      </c>
      <c r="Q145" s="82">
        <f>[1]Native!L43</f>
        <v>8.11</v>
      </c>
      <c r="R145" s="83">
        <v>8.11</v>
      </c>
      <c r="S145" s="84">
        <f>[1]Native!M43</f>
        <v>8.17</v>
      </c>
      <c r="T145" s="66">
        <f>[1]Native!N43</f>
        <v>8.01</v>
      </c>
      <c r="U145" s="67">
        <f>[1]Native!O43</f>
        <v>7.14</v>
      </c>
      <c r="V145" s="68">
        <f>[1]Native!P43</f>
        <v>7.33</v>
      </c>
      <c r="W145" s="68">
        <f>[1]Native!Q43</f>
        <v>6.87</v>
      </c>
      <c r="X145" s="68">
        <v>7.2</v>
      </c>
      <c r="Y145" s="68">
        <v>7.56</v>
      </c>
      <c r="Z145" s="68">
        <v>8.8800000000000008</v>
      </c>
      <c r="AA145" s="68">
        <v>10.19</v>
      </c>
      <c r="AB145" s="68">
        <v>11.48</v>
      </c>
      <c r="AC145" s="68">
        <v>12.85</v>
      </c>
      <c r="AD145" s="68">
        <v>14.16</v>
      </c>
      <c r="AE145" s="68">
        <v>15.54</v>
      </c>
      <c r="AF145" s="68">
        <v>16.13</v>
      </c>
      <c r="AG145" s="69">
        <v>16.88</v>
      </c>
      <c r="AH145" s="70">
        <v>17.260000000000002</v>
      </c>
      <c r="AI145" s="70">
        <v>17.68</v>
      </c>
      <c r="AJ145" s="70">
        <v>18.3</v>
      </c>
      <c r="AK145" s="8">
        <f t="shared" si="19"/>
        <v>53</v>
      </c>
      <c r="AL145" s="8">
        <f t="shared" si="20"/>
        <v>56</v>
      </c>
      <c r="AM145" s="85">
        <f t="shared" si="21"/>
        <v>58</v>
      </c>
      <c r="AN145" s="23">
        <f t="shared" si="22"/>
        <v>61</v>
      </c>
      <c r="AO145" s="85">
        <f t="shared" si="29"/>
        <v>67</v>
      </c>
      <c r="AP145" s="72">
        <f t="shared" si="30"/>
        <v>67</v>
      </c>
      <c r="AQ145" s="71">
        <f t="shared" si="23"/>
        <v>55</v>
      </c>
      <c r="AR145" s="71">
        <f t="shared" si="23"/>
        <v>55</v>
      </c>
      <c r="AS145" s="71">
        <f t="shared" si="27"/>
        <v>55</v>
      </c>
      <c r="AT145" s="71">
        <f t="shared" si="28"/>
        <v>54</v>
      </c>
      <c r="AU145" s="71">
        <f t="shared" si="24"/>
        <v>48</v>
      </c>
      <c r="AV145" s="72">
        <f t="shared" si="25"/>
        <v>48</v>
      </c>
      <c r="AW145" s="122">
        <f>IF(ROUND(W145/VLOOKUP($C145,CapRate,13),0)&gt;10,W145/VLOOKUP($C145,CapRate,13),10)</f>
        <v>44.726562500000007</v>
      </c>
      <c r="AX145" s="122">
        <f>IF(ROUND(X145/VLOOKUP($C145,CapRate,14),0)&gt;10,X145/VLOOKUP($C145,CapRate,14),10)</f>
        <v>46.753246753246756</v>
      </c>
      <c r="AY145" s="122">
        <f>IF(ROUND(Y145/VLOOKUP($C145,CapRate,15),0)&gt;10,Y145/VLOOKUP($C145,CapRate,15),10)</f>
        <v>48.648648648648646</v>
      </c>
      <c r="AZ145" s="122">
        <f>IF(ROUND(Z145/VLOOKUP($C145,CapRate,16),0)&gt;10,Z145/VLOOKUP($C145,CapRate,16),10)</f>
        <v>57.069408740359904</v>
      </c>
      <c r="BA145" s="122">
        <f>IF(ROUND(AA145/VLOOKUP($C145,CapRate,17),0)&gt;10,AA145/VLOOKUP($C145,CapRate,17),10)</f>
        <v>65.070242656449551</v>
      </c>
      <c r="BB145" s="122">
        <f>IF(ROUND(AB145/VLOOKUP($C145,CapRate,18),0)&gt;10,AB145/VLOOKUP($C145,CapRate,18),10)</f>
        <v>73.167622689611221</v>
      </c>
      <c r="BC145" s="122">
        <f>IF(ROUND(AC145/VLOOKUP($C145,CapRate,19),0)&gt;10,AC145/VLOOKUP($C145,CapRate,19),10)</f>
        <v>81.951530612244895</v>
      </c>
      <c r="BD145" s="122">
        <f>IF(ROUND(AD145/VLOOKUP($C145,CapRate,20),0)&gt;10,AD145/VLOOKUP($C145,CapRate,20),10)</f>
        <v>90.479233226837067</v>
      </c>
      <c r="BE145" s="122">
        <f>IF(ROUND(AE145/VLOOKUP($C145,CapRate,21),0)&gt;10,AE145/VLOOKUP($C145,CapRate,21),10)</f>
        <v>99.679281590763296</v>
      </c>
      <c r="BF145" s="122">
        <f>IF(ROUND(AF145/VLOOKUP($C145,CapRate,22),0)&gt;10,AF145/VLOOKUP($C145,CapRate,22),10)</f>
        <v>103.99742101869762</v>
      </c>
      <c r="BG145" s="122">
        <f>IF(ROUND(AG145/VLOOKUP($C145,CapRate,23),0)&gt;10,AG145/VLOOKUP($C145,CapRate,23),10)</f>
        <v>109.46822308690012</v>
      </c>
      <c r="BH145" s="122">
        <f>IF(ROUND(AH145/VLOOKUP($C145,CapRate,24),0)&gt;10,AH145/VLOOKUP($C145,CapRate,24),10)</f>
        <v>112.88423806409418</v>
      </c>
      <c r="BI145" s="122">
        <f>IF(ROUND(AI145/VLOOKUP($C145,CapRate,25),0)&gt;10,AI145/VLOOKUP($C145,CapRate,25),10)</f>
        <v>116.54581410678972</v>
      </c>
      <c r="BJ145" s="122">
        <f>IF(ROUND(AJ145/VLOOKUP($C145,CapRate,26),0)&gt;10,AJ145/VLOOKUP($C145,CapRate,26),10)</f>
        <v>122.24448897795591</v>
      </c>
      <c r="BK145" s="75">
        <f t="shared" si="26"/>
        <v>4.8896435404746086E-2</v>
      </c>
      <c r="BL145" s="76"/>
      <c r="BM145" s="77">
        <f>BK145</f>
        <v>4.8896435404746086E-2</v>
      </c>
      <c r="BN145" s="77"/>
      <c r="BO145" s="77"/>
      <c r="BP145" s="77"/>
    </row>
    <row r="146" spans="1:69" ht="15.9" customHeight="1">
      <c r="A146" s="54"/>
      <c r="B146" s="22"/>
      <c r="C146" s="8" t="s">
        <v>96</v>
      </c>
      <c r="D146" s="23"/>
      <c r="E146" s="8" t="s">
        <v>85</v>
      </c>
      <c r="F146" s="188">
        <f>[1]AcreSummary!L45</f>
        <v>2.8340903993451037E-2</v>
      </c>
      <c r="G146" s="25"/>
      <c r="H146" s="117"/>
      <c r="I146" s="57"/>
      <c r="J146" s="58">
        <f>[1]Tame!D12</f>
        <v>11.58</v>
      </c>
      <c r="K146" s="80">
        <f>[1]Tame!E12</f>
        <v>11.86</v>
      </c>
      <c r="L146" s="68">
        <f>[1]Tame!F12</f>
        <v>12.14</v>
      </c>
      <c r="M146" s="58">
        <f>[1]Tame!G12</f>
        <v>12.52</v>
      </c>
      <c r="N146" s="81">
        <f>[1]Tame!H12</f>
        <v>12.87</v>
      </c>
      <c r="O146" s="62">
        <v>13.23</v>
      </c>
      <c r="P146" s="81">
        <f>[1]Tame!I12</f>
        <v>12.71</v>
      </c>
      <c r="Q146" s="82">
        <f>[1]Tame!J12</f>
        <v>12.45</v>
      </c>
      <c r="R146" s="83">
        <v>12.45</v>
      </c>
      <c r="S146" s="84">
        <f>[1]Tame!K12</f>
        <v>12.08</v>
      </c>
      <c r="T146" s="66">
        <f>[1]Tame!L12</f>
        <v>11.52</v>
      </c>
      <c r="U146" s="67">
        <f>[1]Tame!M12</f>
        <v>11.4</v>
      </c>
      <c r="V146" s="68">
        <f>[1]Tame!N12</f>
        <v>10.33</v>
      </c>
      <c r="W146" s="68">
        <f>[1]Tame!O12</f>
        <v>11.12</v>
      </c>
      <c r="X146" s="68">
        <v>12.97</v>
      </c>
      <c r="Y146" s="68">
        <v>14.91</v>
      </c>
      <c r="Z146" s="68">
        <v>15.08</v>
      </c>
      <c r="AA146" s="68">
        <v>15.7</v>
      </c>
      <c r="AB146" s="68">
        <v>15.78</v>
      </c>
      <c r="AC146" s="68">
        <v>16.010000000000002</v>
      </c>
      <c r="AD146" s="68">
        <v>18.32</v>
      </c>
      <c r="AE146" s="68">
        <v>19.649999999999999</v>
      </c>
      <c r="AF146" s="68">
        <v>19.95</v>
      </c>
      <c r="AG146" s="69">
        <v>20.399999999999999</v>
      </c>
      <c r="AH146" s="70">
        <v>22.67</v>
      </c>
      <c r="AI146" s="70">
        <v>24.23</v>
      </c>
      <c r="AJ146" s="70">
        <v>26.04</v>
      </c>
      <c r="AK146" s="8">
        <f>ROUND(J146/VLOOKUP($C146,CapRate,2),0)</f>
        <v>76</v>
      </c>
      <c r="AL146" s="8">
        <f>ROUND(K146/VLOOKUP($C146,CapRate,3),0)</f>
        <v>77</v>
      </c>
      <c r="AM146" s="85">
        <f>ROUND(L146/VLOOKUP($C146,CapRate,4),0)</f>
        <v>78</v>
      </c>
      <c r="AN146" s="23">
        <f>ROUND(M146/VLOOKUP($C146,CapRate,5),0)</f>
        <v>82</v>
      </c>
      <c r="AO146" s="85">
        <f t="shared" si="29"/>
        <v>90</v>
      </c>
      <c r="AP146" s="72">
        <f t="shared" si="30"/>
        <v>87</v>
      </c>
      <c r="AQ146" s="71">
        <f t="shared" si="23"/>
        <v>85</v>
      </c>
      <c r="AR146" s="71">
        <f t="shared" si="23"/>
        <v>85</v>
      </c>
      <c r="AS146" s="71">
        <f t="shared" si="27"/>
        <v>82</v>
      </c>
      <c r="AT146" s="71">
        <f t="shared" si="28"/>
        <v>78</v>
      </c>
      <c r="AU146" s="71">
        <f t="shared" si="24"/>
        <v>77</v>
      </c>
      <c r="AV146" s="72">
        <f t="shared" si="25"/>
        <v>68</v>
      </c>
      <c r="AW146" s="72">
        <f>IF(ROUND(W146/VLOOKUP($C146,CapRate,13),0)&gt;AW145,W146/VLOOKUP($C146,CapRate,13),AW145)</f>
        <v>72.395833333333329</v>
      </c>
      <c r="AX146" s="72">
        <f>IF(ROUND(X146/VLOOKUP($C146,CapRate,14),0)&gt;AX145,X146/VLOOKUP($C146,CapRate,14),AX145)</f>
        <v>84.220779220779221</v>
      </c>
      <c r="AY146" s="72">
        <f>IF(ROUND(Y146/VLOOKUP($C146,CapRate,15),0)&gt;AY145,Y146/VLOOKUP($C146,CapRate,15),AY145)</f>
        <v>95.945945945945937</v>
      </c>
      <c r="AZ146" s="72">
        <f>IF(ROUND(Z146/VLOOKUP($C146,CapRate,16),0)&gt;AZ145,Z146/VLOOKUP($C146,CapRate,16),AZ145)</f>
        <v>96.915167095115692</v>
      </c>
      <c r="BA146" s="72">
        <f>IF(ROUND(AA146/VLOOKUP($C146,CapRate,17),0)&gt;BA145,AA146/VLOOKUP($C146,CapRate,17),BA145)</f>
        <v>100.25542784163474</v>
      </c>
      <c r="BB146" s="72">
        <f>IF(ROUND(AB146/VLOOKUP($C146,CapRate,18),0)&gt;BB145,AB146/VLOOKUP($C146,CapRate,18),BB145)</f>
        <v>100.57361376673039</v>
      </c>
      <c r="BC146" s="72">
        <f>IF(ROUND(AC146/VLOOKUP($C146,CapRate,19),0)&gt;BC145,AC146/VLOOKUP($C146,CapRate,19),BC145)</f>
        <v>102.10459183673471</v>
      </c>
      <c r="BD146" s="72">
        <f>IF(ROUND(AD146/VLOOKUP($C146,CapRate,20),0)&gt;BD145,AD146/VLOOKUP($C146,CapRate,20),BD145)</f>
        <v>117.06070287539936</v>
      </c>
      <c r="BE146" s="72">
        <f>IF(ROUND(AE146/VLOOKUP($C146,CapRate,21),0)&gt;BE145,AE146/VLOOKUP($C146,CapRate,21),BE145)</f>
        <v>126.04233483001923</v>
      </c>
      <c r="BF146" s="72">
        <f>IF(ROUND(AF146/VLOOKUP($C146,CapRate,22),0)&gt;BF145,AF146/VLOOKUP($C146,CapRate,22),BF145)</f>
        <v>128.6266924564797</v>
      </c>
      <c r="BG146" s="72">
        <f>IF(ROUND(AG146/VLOOKUP($C146,CapRate,23),0)&gt;BG145,AG146/VLOOKUP($C146,CapRate,23),BG145)</f>
        <v>132.29571984435796</v>
      </c>
      <c r="BH146" s="72">
        <f>IF(ROUND(AH146/VLOOKUP($C146,CapRate,24),0)&gt;BH145,AH146/VLOOKUP($C146,CapRate,24),BH145)</f>
        <v>148.26684107259646</v>
      </c>
      <c r="BI146" s="72">
        <f>IF(ROUND(AI146/VLOOKUP($C146,CapRate,25),0)&gt;BI145,AI146/VLOOKUP($C146,CapRate,25),BI145)</f>
        <v>159.72313777191826</v>
      </c>
      <c r="BJ146" s="72">
        <f>IF(ROUND(AJ146/VLOOKUP($C146,CapRate,26),0)&gt;BJ145,AJ146/VLOOKUP($C146,CapRate,26),BJ145)</f>
        <v>173.94789579158316</v>
      </c>
      <c r="BK146" s="87">
        <f t="shared" si="26"/>
        <v>8.9058844060386555E-2</v>
      </c>
      <c r="BL146" s="76"/>
      <c r="BM146" s="77"/>
      <c r="BN146" s="77"/>
      <c r="BO146" s="77"/>
      <c r="BP146" s="77">
        <f>BK146</f>
        <v>8.9058844060386555E-2</v>
      </c>
    </row>
    <row r="147" spans="1:69" ht="15.9" customHeight="1">
      <c r="A147" s="54">
        <v>40</v>
      </c>
      <c r="B147" s="22"/>
      <c r="C147" s="8" t="s">
        <v>96</v>
      </c>
      <c r="D147" s="23"/>
      <c r="E147" s="8" t="s">
        <v>40</v>
      </c>
      <c r="F147" s="188">
        <f>[1]AcreSummary!J45</f>
        <v>0.526587857367812</v>
      </c>
      <c r="G147" s="25"/>
      <c r="H147" s="117"/>
      <c r="I147" s="57">
        <f>[1]Dry!E45</f>
        <v>23.21</v>
      </c>
      <c r="J147" s="58">
        <f>[1]Dry!F45</f>
        <v>23.17</v>
      </c>
      <c r="K147" s="80">
        <f>[1]Dry!G45</f>
        <v>23.57</v>
      </c>
      <c r="L147" s="68">
        <f>[1]Dry!H45</f>
        <v>24.6</v>
      </c>
      <c r="M147" s="58">
        <f>[1]Dry!I45</f>
        <v>25.72</v>
      </c>
      <c r="N147" s="81">
        <f>[1]Dry!J45</f>
        <v>26.92</v>
      </c>
      <c r="O147" s="62">
        <v>26.93</v>
      </c>
      <c r="P147" s="81">
        <f>[1]Dry!K45</f>
        <v>27.97</v>
      </c>
      <c r="Q147" s="82">
        <f>[1]Dry!L45</f>
        <v>29.27</v>
      </c>
      <c r="R147" s="83">
        <f>Q147*0.95</f>
        <v>27.8065</v>
      </c>
      <c r="S147" s="84">
        <f>[1]Dry!N45</f>
        <v>30.12</v>
      </c>
      <c r="T147" s="66">
        <f>[1]Dry!O45</f>
        <v>30.37</v>
      </c>
      <c r="U147" s="67">
        <f>[1]Dry!P45</f>
        <v>29.71</v>
      </c>
      <c r="V147" s="68">
        <f>[1]Dry!Q45</f>
        <v>27.01</v>
      </c>
      <c r="W147" s="68">
        <f>[1]Dry!R45</f>
        <v>30.35</v>
      </c>
      <c r="X147" s="68">
        <f>[1]Dry!S45</f>
        <v>35.42</v>
      </c>
      <c r="Y147" s="68">
        <f>[1]Dry!T45</f>
        <v>41.76</v>
      </c>
      <c r="Z147" s="68">
        <v>49.09</v>
      </c>
      <c r="AA147" s="68">
        <v>57.31</v>
      </c>
      <c r="AB147" s="68">
        <v>67.36</v>
      </c>
      <c r="AC147" s="68">
        <v>75.89</v>
      </c>
      <c r="AD147" s="68">
        <v>81.96</v>
      </c>
      <c r="AE147" s="68">
        <v>86.47</v>
      </c>
      <c r="AF147" s="68">
        <v>85.84</v>
      </c>
      <c r="AG147" s="69">
        <v>84.17</v>
      </c>
      <c r="AH147" s="70">
        <v>78.33</v>
      </c>
      <c r="AI147" s="70">
        <v>68.52</v>
      </c>
      <c r="AJ147" s="70">
        <v>60.79</v>
      </c>
      <c r="AK147" s="8">
        <f t="shared" si="19"/>
        <v>151</v>
      </c>
      <c r="AL147" s="8">
        <f t="shared" si="20"/>
        <v>153</v>
      </c>
      <c r="AM147" s="85">
        <f t="shared" si="21"/>
        <v>158</v>
      </c>
      <c r="AN147" s="23">
        <f t="shared" si="22"/>
        <v>168</v>
      </c>
      <c r="AO147" s="85">
        <f t="shared" si="29"/>
        <v>183</v>
      </c>
      <c r="AP147" s="72">
        <f t="shared" si="30"/>
        <v>192</v>
      </c>
      <c r="AQ147" s="71">
        <f t="shared" si="23"/>
        <v>199</v>
      </c>
      <c r="AR147" s="71">
        <f t="shared" si="23"/>
        <v>189</v>
      </c>
      <c r="AS147" s="71">
        <f t="shared" si="27"/>
        <v>204</v>
      </c>
      <c r="AT147" s="71">
        <f t="shared" si="28"/>
        <v>206</v>
      </c>
      <c r="AU147" s="71">
        <f t="shared" si="24"/>
        <v>201</v>
      </c>
      <c r="AV147" s="72">
        <f t="shared" si="25"/>
        <v>177</v>
      </c>
      <c r="AW147" s="72">
        <f>ROUND(W147/VLOOKUP($C147,CapRate,13),0)</f>
        <v>198</v>
      </c>
      <c r="AX147" s="72">
        <f>ROUND(X147/VLOOKUP($C147,CapRate,14),0)</f>
        <v>230</v>
      </c>
      <c r="AY147" s="72">
        <f>ROUND(Y147/VLOOKUP($C147,CapRate,15),0)</f>
        <v>269</v>
      </c>
      <c r="AZ147" s="72">
        <f>ROUND(Z147/VLOOKUP($C147,CapRate,16),0)</f>
        <v>315</v>
      </c>
      <c r="BA147" s="72">
        <f>ROUND(AA147/VLOOKUP($C147,CapRate,17),0)</f>
        <v>366</v>
      </c>
      <c r="BB147" s="72">
        <f>ROUND(AB147/VLOOKUP($C147,CapRate,18),0)</f>
        <v>429</v>
      </c>
      <c r="BC147" s="72">
        <f>ROUND(AC147/VLOOKUP($C147,CapRate,19),0)</f>
        <v>484</v>
      </c>
      <c r="BD147" s="72">
        <f>ROUND(AD147/VLOOKUP($C147,CapRate,20),0)</f>
        <v>524</v>
      </c>
      <c r="BE147" s="72">
        <f>ROUND(AE147/VLOOKUP($C147,CapRate,21),0)</f>
        <v>555</v>
      </c>
      <c r="BF147" s="72">
        <f>ROUND(AF147/VLOOKUP($C147,CapRate,22),0)</f>
        <v>553</v>
      </c>
      <c r="BG147" s="72">
        <f>ROUND(AG147/VLOOKUP($C147,CapRate,23),0)</f>
        <v>546</v>
      </c>
      <c r="BH147" s="72">
        <f>ROUND(AH147/VLOOKUP($C147,CapRate,24),0)</f>
        <v>512</v>
      </c>
      <c r="BI147" s="72">
        <f>ROUND(AI147/VLOOKUP($C147,CapRate,25),0)</f>
        <v>452</v>
      </c>
      <c r="BJ147" s="72">
        <f>ROUND(AJ147/VLOOKUP($C147,CapRate,26),0)</f>
        <v>406</v>
      </c>
      <c r="BK147" s="87">
        <f t="shared" si="26"/>
        <v>-0.10176991150442483</v>
      </c>
      <c r="BL147" s="76"/>
      <c r="BM147" s="77"/>
      <c r="BN147" s="77">
        <f>BK147</f>
        <v>-0.10176991150442483</v>
      </c>
      <c r="BO147" s="77"/>
      <c r="BP147" s="77"/>
    </row>
    <row r="148" spans="1:69" ht="15.9" customHeight="1" thickBot="1">
      <c r="A148" s="54">
        <v>40</v>
      </c>
      <c r="B148" s="194"/>
      <c r="C148" s="90" t="s">
        <v>96</v>
      </c>
      <c r="D148" s="195"/>
      <c r="E148" s="132" t="s">
        <v>41</v>
      </c>
      <c r="F148" s="196">
        <f>[1]AcreSummary!K45</f>
        <v>2.7925517664509618E-2</v>
      </c>
      <c r="G148" s="197">
        <f>[1]Irrigated!D52</f>
        <v>100</v>
      </c>
      <c r="H148" s="135">
        <f>[1]Irrigated!E52</f>
        <v>0.55079999999999996</v>
      </c>
      <c r="I148" s="136"/>
      <c r="J148" s="137">
        <f>[1]Irrigated!H52</f>
        <v>46.51</v>
      </c>
      <c r="K148" s="138">
        <f>[1]Irrigated!I52</f>
        <v>47.39</v>
      </c>
      <c r="L148" s="139">
        <f>[1]Irrigated!J52</f>
        <v>47.31</v>
      </c>
      <c r="M148" s="137">
        <f>[1]Irrigated!K52</f>
        <v>47.36</v>
      </c>
      <c r="N148" s="140">
        <f>[1]Irrigated!L52</f>
        <v>49.35</v>
      </c>
      <c r="O148" s="141">
        <v>45.55</v>
      </c>
      <c r="P148" s="140">
        <f>[1]Irrigated!M52</f>
        <v>49.11</v>
      </c>
      <c r="Q148" s="142">
        <f>[1]Irrigated!N52</f>
        <v>47.46</v>
      </c>
      <c r="R148" s="143">
        <v>47.46</v>
      </c>
      <c r="S148" s="144">
        <f>[1]Irrigated!O52</f>
        <v>46.25</v>
      </c>
      <c r="T148" s="145">
        <f>[1]Irrigated!P52</f>
        <v>46.93</v>
      </c>
      <c r="U148" s="146">
        <f>[1]Irrigated!Q52</f>
        <v>45.33</v>
      </c>
      <c r="V148" s="139">
        <f>[1]Irrigated!R52</f>
        <v>48.21</v>
      </c>
      <c r="W148" s="139">
        <f>[1]Irrigated!S52</f>
        <v>55.23</v>
      </c>
      <c r="X148" s="139">
        <v>63.93</v>
      </c>
      <c r="Y148" s="139">
        <v>76.5</v>
      </c>
      <c r="Z148" s="139">
        <v>90.1</v>
      </c>
      <c r="AA148" s="139">
        <v>101.52</v>
      </c>
      <c r="AB148" s="139">
        <v>116.34</v>
      </c>
      <c r="AC148" s="139">
        <v>126.81</v>
      </c>
      <c r="AD148" s="139">
        <v>131.63999999999999</v>
      </c>
      <c r="AE148" s="139">
        <v>134.54</v>
      </c>
      <c r="AF148" s="139">
        <v>133.24</v>
      </c>
      <c r="AG148" s="147">
        <v>127.33</v>
      </c>
      <c r="AH148" s="149">
        <v>109.57</v>
      </c>
      <c r="AI148" s="149">
        <v>84.03</v>
      </c>
      <c r="AJ148" s="149">
        <v>61.94</v>
      </c>
      <c r="AK148" s="90">
        <f t="shared" si="19"/>
        <v>304</v>
      </c>
      <c r="AL148" s="90">
        <f t="shared" si="20"/>
        <v>308</v>
      </c>
      <c r="AM148" s="108">
        <f t="shared" si="21"/>
        <v>304</v>
      </c>
      <c r="AN148" s="91">
        <f t="shared" si="22"/>
        <v>310</v>
      </c>
      <c r="AO148" s="108">
        <f t="shared" si="29"/>
        <v>309</v>
      </c>
      <c r="AP148" s="109">
        <f t="shared" si="30"/>
        <v>337</v>
      </c>
      <c r="AQ148" s="110">
        <f t="shared" si="23"/>
        <v>323</v>
      </c>
      <c r="AR148" s="110">
        <f t="shared" si="23"/>
        <v>323</v>
      </c>
      <c r="AS148" s="110">
        <f t="shared" si="27"/>
        <v>314</v>
      </c>
      <c r="AT148" s="110">
        <f t="shared" si="28"/>
        <v>318</v>
      </c>
      <c r="AU148" s="110">
        <f t="shared" si="24"/>
        <v>306</v>
      </c>
      <c r="AV148" s="109">
        <f t="shared" si="25"/>
        <v>316</v>
      </c>
      <c r="AW148" s="109">
        <f>ROUND(W148/VLOOKUP($C148,CapRate,13),0)</f>
        <v>360</v>
      </c>
      <c r="AX148" s="109">
        <f>ROUND(X148/VLOOKUP($C148,CapRate,14),0)</f>
        <v>415</v>
      </c>
      <c r="AY148" s="109">
        <f>ROUND(Y148/VLOOKUP($C148,CapRate,15),0)</f>
        <v>492</v>
      </c>
      <c r="AZ148" s="109">
        <f>ROUND(Z148/VLOOKUP($C148,CapRate,16),0)</f>
        <v>579</v>
      </c>
      <c r="BA148" s="109">
        <f>ROUND(AA148/VLOOKUP($C148,CapRate,17),0)</f>
        <v>648</v>
      </c>
      <c r="BB148" s="109">
        <f>ROUND(AB148/VLOOKUP($C148,CapRate,18),0)</f>
        <v>741</v>
      </c>
      <c r="BC148" s="109">
        <f>ROUND(AC148/VLOOKUP($C148,CapRate,19),0)</f>
        <v>809</v>
      </c>
      <c r="BD148" s="109">
        <f>ROUND(AD148/VLOOKUP($C148,CapRate,20),0)</f>
        <v>841</v>
      </c>
      <c r="BE148" s="199">
        <f>ROUND(AE148/VLOOKUP($C148,CapRate,21),0)</f>
        <v>863</v>
      </c>
      <c r="BF148" s="199">
        <f>ROUND(AF148/VLOOKUP($C148,CapRate,22),0)</f>
        <v>859</v>
      </c>
      <c r="BG148" s="199">
        <f>ROUND(AG148/VLOOKUP($C148,CapRate,23),0)</f>
        <v>826</v>
      </c>
      <c r="BH148" s="199">
        <f>ROUND(AH148/VLOOKUP($C148,CapRate,24),0)</f>
        <v>717</v>
      </c>
      <c r="BI148" s="109">
        <f>ROUND(AI148/VLOOKUP($C148,CapRate,25),0)</f>
        <v>554</v>
      </c>
      <c r="BJ148" s="109">
        <f>ROUND(AJ148/VLOOKUP($C148,CapRate,26),0)</f>
        <v>414</v>
      </c>
      <c r="BK148" s="193">
        <f t="shared" si="26"/>
        <v>-0.25270758122743686</v>
      </c>
      <c r="BL148" s="200">
        <f>((F145*BK145)+(F146*BK146)+(F147*BK147)+(F148*BK148))</f>
        <v>-3.7726842717883513E-2</v>
      </c>
      <c r="BM148" s="120"/>
      <c r="BN148" s="115"/>
      <c r="BO148" s="115">
        <f>BK148</f>
        <v>-0.25270758122743686</v>
      </c>
      <c r="BP148" s="115"/>
    </row>
    <row r="149" spans="1:69" ht="15.9" customHeight="1" thickTop="1">
      <c r="A149" s="202" t="s">
        <v>97</v>
      </c>
      <c r="B149" s="22" t="s">
        <v>98</v>
      </c>
      <c r="C149" s="8" t="s">
        <v>99</v>
      </c>
      <c r="D149" s="23" t="s">
        <v>99</v>
      </c>
      <c r="E149" s="8" t="s">
        <v>39</v>
      </c>
      <c r="F149" s="188">
        <f>[1]AcreSummary!M46</f>
        <v>0.22819333969367392</v>
      </c>
      <c r="G149" s="25"/>
      <c r="H149" s="117"/>
      <c r="I149" s="57">
        <f>[1]Native!E44</f>
        <v>6.47</v>
      </c>
      <c r="J149" s="58">
        <f>[1]Native!F44</f>
        <v>6.2530000000000001</v>
      </c>
      <c r="K149" s="59">
        <f>[1]Native!G44</f>
        <v>6.5350000000000001</v>
      </c>
      <c r="L149" s="60">
        <f>[1]Native!H44</f>
        <v>6.7720000000000002</v>
      </c>
      <c r="M149" s="61">
        <f>[1]Native!I44</f>
        <v>7.0387000000000004</v>
      </c>
      <c r="N149" s="62">
        <f>[1]Native!J44</f>
        <v>7.27</v>
      </c>
      <c r="O149" s="62">
        <v>7.14</v>
      </c>
      <c r="P149" s="62">
        <f>[1]Native!K44</f>
        <v>7.22</v>
      </c>
      <c r="Q149" s="63">
        <f>[1]Native!L44</f>
        <v>7.14</v>
      </c>
      <c r="R149" s="64">
        <v>7.14</v>
      </c>
      <c r="S149" s="65">
        <f>[1]Native!M44</f>
        <v>7.14</v>
      </c>
      <c r="T149" s="66">
        <f>[1]Native!N44</f>
        <v>7.07</v>
      </c>
      <c r="U149" s="67">
        <f>[1]Native!O44</f>
        <v>6.87</v>
      </c>
      <c r="V149" s="67">
        <f>[1]Native!P44</f>
        <v>4.91</v>
      </c>
      <c r="W149" s="67">
        <f>[1]Native!Q44</f>
        <v>4.5</v>
      </c>
      <c r="X149" s="68">
        <v>4.8600000000000003</v>
      </c>
      <c r="Y149" s="68">
        <v>5.14</v>
      </c>
      <c r="Z149" s="68">
        <v>6.31</v>
      </c>
      <c r="AA149" s="68">
        <v>7.24</v>
      </c>
      <c r="AB149" s="68">
        <v>8.1199999999999992</v>
      </c>
      <c r="AC149" s="68">
        <v>8.94</v>
      </c>
      <c r="AD149" s="68">
        <v>9.98</v>
      </c>
      <c r="AE149" s="68">
        <v>10.94</v>
      </c>
      <c r="AF149" s="68">
        <v>11.02</v>
      </c>
      <c r="AG149" s="69">
        <v>11.18</v>
      </c>
      <c r="AH149" s="70">
        <v>10.96</v>
      </c>
      <c r="AI149" s="203">
        <v>10.75</v>
      </c>
      <c r="AJ149" s="70">
        <v>10.88</v>
      </c>
      <c r="AK149" s="8">
        <f t="shared" si="19"/>
        <v>41</v>
      </c>
      <c r="AL149" s="8">
        <f t="shared" si="20"/>
        <v>43</v>
      </c>
      <c r="AM149" s="71">
        <f t="shared" si="21"/>
        <v>44</v>
      </c>
      <c r="AN149" s="72">
        <f t="shared" si="22"/>
        <v>46</v>
      </c>
      <c r="AO149" s="71">
        <f t="shared" si="29"/>
        <v>48</v>
      </c>
      <c r="AP149" s="72">
        <f t="shared" si="30"/>
        <v>49</v>
      </c>
      <c r="AQ149" s="71">
        <f t="shared" si="23"/>
        <v>48</v>
      </c>
      <c r="AR149" s="71">
        <f t="shared" si="23"/>
        <v>48</v>
      </c>
      <c r="AS149" s="71">
        <f t="shared" si="27"/>
        <v>48</v>
      </c>
      <c r="AT149" s="71">
        <f t="shared" si="28"/>
        <v>47</v>
      </c>
      <c r="AU149" s="71">
        <f t="shared" si="24"/>
        <v>46</v>
      </c>
      <c r="AV149" s="72">
        <f t="shared" si="25"/>
        <v>32</v>
      </c>
      <c r="AW149" s="122">
        <f>IF(ROUND(W149/VLOOKUP($C149,CapRate,13),0)&gt;10,W149/VLOOKUP($C149,CapRate,13),10)</f>
        <v>29.488859764089121</v>
      </c>
      <c r="AX149" s="122">
        <f>IF(ROUND(X149/VLOOKUP($C149,CapRate,14),0)&gt;10,X149/VLOOKUP($C149,CapRate,14),10)</f>
        <v>31.827111984282908</v>
      </c>
      <c r="AY149" s="122">
        <f>IF(ROUND(Y149/VLOOKUP($C149,CapRate,15),0)&gt;10,Y149/VLOOKUP($C149,CapRate,15),10)</f>
        <v>33.616742969260955</v>
      </c>
      <c r="AZ149" s="122">
        <f>IF(ROUND(Z149/VLOOKUP($C149,CapRate,16),0)&gt;10,Z149/VLOOKUP($C149,CapRate,16),10)</f>
        <v>41.214892227302407</v>
      </c>
      <c r="BA149" s="122">
        <f>IF(ROUND(AA149/VLOOKUP($C149,CapRate,17),0)&gt;10,AA149/VLOOKUP($C149,CapRate,17),10)</f>
        <v>47.074122236671002</v>
      </c>
      <c r="BB149" s="122">
        <f>IF(ROUND(AB149/VLOOKUP($C149,CapRate,18),0)&gt;10,AB149/VLOOKUP($C149,CapRate,18),10)</f>
        <v>52.556634304207115</v>
      </c>
      <c r="BC149" s="122">
        <f>IF(ROUND(AC149/VLOOKUP($C149,CapRate,19),0)&gt;10,AC149/VLOOKUP($C149,CapRate,19),10)</f>
        <v>57.603092783505147</v>
      </c>
      <c r="BD149" s="122">
        <f>IF(ROUND(AD149/VLOOKUP($C149,CapRate,20),0)&gt;10,AD149/VLOOKUP($C149,CapRate,20),10)</f>
        <v>64.097623635195887</v>
      </c>
      <c r="BE149" s="72">
        <f>IF(ROUND(AE149/VLOOKUP($C149,CapRate,21),0)&gt;10,AE149/VLOOKUP($C149,CapRate,21),10)</f>
        <v>69.993602047344851</v>
      </c>
      <c r="BF149" s="72">
        <f>IF(ROUND(AF149/VLOOKUP($C149,CapRate,22),0)&gt;10,AF149/VLOOKUP($C149,CapRate,22),10)</f>
        <v>70.325462667517542</v>
      </c>
      <c r="BG149" s="72">
        <f>IF(ROUND(AG149/VLOOKUP($C149,CapRate,23),0)&gt;10,AG149/VLOOKUP($C149,CapRate,23),10)</f>
        <v>71.119592875318062</v>
      </c>
      <c r="BH149" s="72">
        <f>IF(ROUND(AH149/VLOOKUP($C149,CapRate,24),0)&gt;10,AH149/VLOOKUP($C149,CapRate,24),10)</f>
        <v>69.543147208121837</v>
      </c>
      <c r="BI149" s="72">
        <f>IF(ROUND(AI149/VLOOKUP($C149,CapRate,25),0)&gt;10,AI149/VLOOKUP($C149,CapRate,25),10)</f>
        <v>68.297331639135948</v>
      </c>
      <c r="BJ149" s="72">
        <f>IF(ROUND(AJ149/VLOOKUP($C149,CapRate,26),0)&gt;10,AJ149/VLOOKUP($C149,CapRate,26),10)</f>
        <v>69.565217391304344</v>
      </c>
      <c r="BK149" s="75">
        <f t="shared" si="26"/>
        <v>1.8564206268958605E-2</v>
      </c>
      <c r="BL149" s="76"/>
      <c r="BM149" s="77">
        <f>BK149</f>
        <v>1.8564206268958605E-2</v>
      </c>
      <c r="BN149" s="77"/>
      <c r="BO149" s="77"/>
      <c r="BP149" s="77"/>
      <c r="BQ149" s="77">
        <f>AVERAGE(BL152:BL191)</f>
        <v>-5.466470801195706E-2</v>
      </c>
    </row>
    <row r="150" spans="1:69" ht="15.9" customHeight="1">
      <c r="A150" s="8"/>
      <c r="B150" s="22"/>
      <c r="C150" s="8" t="s">
        <v>99</v>
      </c>
      <c r="D150" s="23"/>
      <c r="E150" s="8" t="s">
        <v>85</v>
      </c>
      <c r="F150" s="188">
        <f>[1]AcreSummary!L46</f>
        <v>0</v>
      </c>
      <c r="G150" s="25"/>
      <c r="H150" s="117"/>
      <c r="I150" s="57"/>
      <c r="J150" s="58">
        <f>[1]Tame!D13</f>
        <v>0</v>
      </c>
      <c r="K150" s="80">
        <f>[1]Tame!E13</f>
        <v>0</v>
      </c>
      <c r="L150" s="68">
        <f>[1]Tame!F13</f>
        <v>0</v>
      </c>
      <c r="M150" s="58">
        <f>[1]Tame!G13</f>
        <v>0</v>
      </c>
      <c r="N150" s="81">
        <f>[1]Tame!H13</f>
        <v>0</v>
      </c>
      <c r="O150" s="62">
        <v>0</v>
      </c>
      <c r="P150" s="81">
        <f>[1]Tame!I13</f>
        <v>0</v>
      </c>
      <c r="Q150" s="82">
        <f>[1]Tame!J13</f>
        <v>0</v>
      </c>
      <c r="R150" s="83">
        <v>0</v>
      </c>
      <c r="S150" s="84">
        <f>[1]Tame!K13</f>
        <v>0</v>
      </c>
      <c r="T150" s="66">
        <f>[1]Tame!L13</f>
        <v>0</v>
      </c>
      <c r="U150" s="67">
        <f>[1]Tame!M13</f>
        <v>0</v>
      </c>
      <c r="V150" s="68">
        <f>[1]Tame!N13</f>
        <v>0</v>
      </c>
      <c r="W150" s="68">
        <f>[1]Tame!O13</f>
        <v>0</v>
      </c>
      <c r="X150" s="68">
        <v>0</v>
      </c>
      <c r="Y150" s="68">
        <v>0</v>
      </c>
      <c r="Z150" s="68">
        <v>0</v>
      </c>
      <c r="AA150" s="68">
        <v>0</v>
      </c>
      <c r="AB150" s="68">
        <v>0</v>
      </c>
      <c r="AC150" s="68">
        <v>0</v>
      </c>
      <c r="AD150" s="68">
        <v>0</v>
      </c>
      <c r="AE150" s="68">
        <v>0</v>
      </c>
      <c r="AF150" s="68">
        <v>0</v>
      </c>
      <c r="AG150" s="69">
        <v>0</v>
      </c>
      <c r="AH150" s="70">
        <v>0</v>
      </c>
      <c r="AI150" s="70">
        <v>0</v>
      </c>
      <c r="AJ150" s="70">
        <v>8.35</v>
      </c>
      <c r="AK150" s="8">
        <f>ROUND(J150/VLOOKUP($C150,CapRate,2),0)</f>
        <v>0</v>
      </c>
      <c r="AL150" s="8">
        <f>ROUND(K150/VLOOKUP($C150,CapRate,3),0)</f>
        <v>0</v>
      </c>
      <c r="AM150" s="85">
        <f>ROUND(L150/VLOOKUP($C150,CapRate,4),0)</f>
        <v>0</v>
      </c>
      <c r="AN150" s="23">
        <f>ROUND(M150/VLOOKUP($C150,CapRate,5),0)</f>
        <v>0</v>
      </c>
      <c r="AO150" s="85">
        <f t="shared" si="29"/>
        <v>0</v>
      </c>
      <c r="AP150" s="72">
        <f t="shared" si="30"/>
        <v>0</v>
      </c>
      <c r="AQ150" s="71">
        <f t="shared" si="23"/>
        <v>0</v>
      </c>
      <c r="AR150" s="71">
        <f t="shared" si="23"/>
        <v>0</v>
      </c>
      <c r="AS150" s="71">
        <f t="shared" si="27"/>
        <v>0</v>
      </c>
      <c r="AT150" s="71">
        <f t="shared" si="28"/>
        <v>0</v>
      </c>
      <c r="AU150" s="71">
        <f t="shared" si="24"/>
        <v>0</v>
      </c>
      <c r="AV150" s="72">
        <f>IF(ROUND(V150/VLOOKUP($C150,CapRate,12),0)&gt;AV149,V150/VLOOKUP($C150,CapRate,12),AV149)</f>
        <v>32</v>
      </c>
      <c r="AW150" s="72">
        <f>IF(ROUND(W150/VLOOKUP($C150,CapRate,13),0)&gt;AW149,W150/VLOOKUP($C150,CapRate,13),AW149)</f>
        <v>29.488859764089121</v>
      </c>
      <c r="AX150" s="72">
        <f>IF(ROUND(X150/VLOOKUP($C150,CapRate,14),0)&gt;AX149,X150/VLOOKUP($C150,CapRate,14),AX149)</f>
        <v>31.827111984282908</v>
      </c>
      <c r="AY150" s="72">
        <f>IF(ROUND(Y150/VLOOKUP($C150,CapRate,15),0)&gt;AY149,Y150/VLOOKUP($C150,CapRate,15),AY149)</f>
        <v>33.616742969260955</v>
      </c>
      <c r="AZ150" s="72">
        <f>IF(ROUND(Z150/VLOOKUP($C150,CapRate,16),0)&gt;AZ149,Z150/VLOOKUP($C150,CapRate,16),AZ149)</f>
        <v>41.214892227302407</v>
      </c>
      <c r="BA150" s="72">
        <f>IF(ROUND(AA150/VLOOKUP($C150,CapRate,17),0)&gt;BA149,AA150/VLOOKUP($C150,CapRate,17),BA149)</f>
        <v>47.074122236671002</v>
      </c>
      <c r="BB150" s="72">
        <f>IF(ROUND(AB150/VLOOKUP($C150,CapRate,18),0)&gt;BB149,AB150/VLOOKUP($C150,CapRate,18),BB149)</f>
        <v>52.556634304207115</v>
      </c>
      <c r="BC150" s="72">
        <f>IF(ROUND(AC150/VLOOKUP($C150,CapRate,19),0)&gt;BC149,AC150/VLOOKUP($C150,CapRate,19),BC149)</f>
        <v>57.603092783505147</v>
      </c>
      <c r="BD150" s="72">
        <f>IF(ROUND(AD150/VLOOKUP($C150,CapRate,20),0)&gt;BD149,AD150/VLOOKUP($C150,CapRate,20),BD149)</f>
        <v>64.097623635195887</v>
      </c>
      <c r="BE150" s="72">
        <f>IF(ROUND(AE150/VLOOKUP($C150,CapRate,21),0)&gt;BE149,AE150/VLOOKUP($C150,CapRate,21),BE149)</f>
        <v>69.993602047344851</v>
      </c>
      <c r="BF150" s="72">
        <f>IF(ROUND(AF150/VLOOKUP($C150,CapRate,22),0)&gt;BF149,AF150/VLOOKUP($C150,CapRate,22),BF149)</f>
        <v>70.325462667517542</v>
      </c>
      <c r="BG150" s="72">
        <f>IF(ROUND(AG150/VLOOKUP($C150,CapRate,23),0)&gt;BG149,AG150/VLOOKUP($C150,CapRate,23),BG149)</f>
        <v>71.119592875318062</v>
      </c>
      <c r="BH150" s="72">
        <f>IF(ROUND(AH150/VLOOKUP($C150,CapRate,24),0)&gt;BH149,AH150/VLOOKUP($C150,CapRate,24),BH149)</f>
        <v>69.543147208121837</v>
      </c>
      <c r="BI150" s="72">
        <f>IF(ROUND(AI150/VLOOKUP($C150,CapRate,25),0)&gt;BI149,AI150/VLOOKUP($C150,CapRate,25),BI149)</f>
        <v>68.297331639135948</v>
      </c>
      <c r="BJ150" s="72">
        <f>IF(ROUND(AJ150/VLOOKUP($C150,CapRate,26),0)&gt;BJ149,AJ150/VLOOKUP($C150,CapRate,26),BJ149)</f>
        <v>69.565217391304344</v>
      </c>
      <c r="BK150" s="87">
        <f t="shared" si="26"/>
        <v>1.8564206268958605E-2</v>
      </c>
      <c r="BL150" s="76"/>
      <c r="BM150" s="77"/>
      <c r="BN150" s="77"/>
      <c r="BO150" s="77"/>
      <c r="BP150" s="77">
        <f>BK150</f>
        <v>1.8564206268958605E-2</v>
      </c>
    </row>
    <row r="151" spans="1:69" ht="15.9" customHeight="1">
      <c r="A151" s="54">
        <v>50</v>
      </c>
      <c r="B151" s="22"/>
      <c r="C151" s="8" t="s">
        <v>99</v>
      </c>
      <c r="D151" s="23"/>
      <c r="E151" s="8" t="s">
        <v>40</v>
      </c>
      <c r="F151" s="188">
        <f>[1]AcreSummary!J46</f>
        <v>0.70411921822976176</v>
      </c>
      <c r="G151" s="25"/>
      <c r="H151" s="117"/>
      <c r="I151" s="57">
        <f>[1]Dry!E46</f>
        <v>16.29</v>
      </c>
      <c r="J151" s="58">
        <f>[1]Dry!F46</f>
        <v>15.89</v>
      </c>
      <c r="K151" s="80">
        <f>[1]Dry!G46</f>
        <v>15.99</v>
      </c>
      <c r="L151" s="68">
        <f>[1]Dry!H46</f>
        <v>16.66</v>
      </c>
      <c r="M151" s="58">
        <f>[1]Dry!I46</f>
        <v>17.86</v>
      </c>
      <c r="N151" s="81">
        <f>[1]Dry!J46</f>
        <v>19.21</v>
      </c>
      <c r="O151" s="62">
        <v>19.260000000000002</v>
      </c>
      <c r="P151" s="81">
        <f>[1]Dry!K46</f>
        <v>20.84</v>
      </c>
      <c r="Q151" s="82">
        <f>[1]Dry!L46</f>
        <v>22.37</v>
      </c>
      <c r="R151" s="83">
        <f>Q151*0.95</f>
        <v>21.2515</v>
      </c>
      <c r="S151" s="84">
        <f>[1]Dry!N46</f>
        <v>23.96</v>
      </c>
      <c r="T151" s="66">
        <f>[1]Dry!O46</f>
        <v>25.23</v>
      </c>
      <c r="U151" s="67">
        <f>[1]Dry!P46</f>
        <v>25.71</v>
      </c>
      <c r="V151" s="68">
        <f>[1]Dry!Q46</f>
        <v>24.6</v>
      </c>
      <c r="W151" s="68">
        <f>[1]Dry!R46</f>
        <v>26.59</v>
      </c>
      <c r="X151" s="68">
        <f>[1]Dry!S46</f>
        <v>28.75</v>
      </c>
      <c r="Y151" s="68">
        <f>[1]Dry!T46</f>
        <v>32.44</v>
      </c>
      <c r="Z151" s="68">
        <v>36</v>
      </c>
      <c r="AA151" s="68">
        <v>39.74</v>
      </c>
      <c r="AB151" s="68">
        <v>43.38</v>
      </c>
      <c r="AC151" s="68">
        <v>45.89</v>
      </c>
      <c r="AD151" s="68">
        <v>46.55</v>
      </c>
      <c r="AE151" s="68">
        <v>46.08</v>
      </c>
      <c r="AF151" s="68">
        <v>45.33</v>
      </c>
      <c r="AG151" s="69">
        <v>44.01</v>
      </c>
      <c r="AH151" s="70">
        <v>40.96</v>
      </c>
      <c r="AI151" s="70">
        <v>37.39</v>
      </c>
      <c r="AJ151" s="70">
        <v>34.29</v>
      </c>
      <c r="AK151" s="8">
        <f t="shared" si="19"/>
        <v>104</v>
      </c>
      <c r="AL151" s="8">
        <f t="shared" si="20"/>
        <v>105</v>
      </c>
      <c r="AM151" s="85">
        <f t="shared" si="21"/>
        <v>107</v>
      </c>
      <c r="AN151" s="23">
        <f t="shared" si="22"/>
        <v>117</v>
      </c>
      <c r="AO151" s="85">
        <f t="shared" si="29"/>
        <v>130</v>
      </c>
      <c r="AP151" s="72">
        <f t="shared" si="30"/>
        <v>142</v>
      </c>
      <c r="AQ151" s="71">
        <f t="shared" si="23"/>
        <v>151</v>
      </c>
      <c r="AR151" s="71">
        <f t="shared" si="23"/>
        <v>144</v>
      </c>
      <c r="AS151" s="71">
        <f t="shared" si="27"/>
        <v>161</v>
      </c>
      <c r="AT151" s="71">
        <f t="shared" si="28"/>
        <v>169</v>
      </c>
      <c r="AU151" s="71">
        <f t="shared" si="24"/>
        <v>171</v>
      </c>
      <c r="AV151" s="72">
        <f t="shared" si="25"/>
        <v>161</v>
      </c>
      <c r="AW151" s="72">
        <f>ROUND(W151/VLOOKUP($C151,CapRate,13),0)</f>
        <v>174</v>
      </c>
      <c r="AX151" s="72">
        <f>ROUND(X151/VLOOKUP($C151,CapRate,14),0)</f>
        <v>188</v>
      </c>
      <c r="AY151" s="72">
        <f>ROUND(Y151/VLOOKUP($C151,CapRate,15),0)</f>
        <v>212</v>
      </c>
      <c r="AZ151" s="72">
        <f>ROUND(Z151/VLOOKUP($C151,CapRate,16),0)</f>
        <v>235</v>
      </c>
      <c r="BA151" s="72">
        <f>ROUND(AA151/VLOOKUP($C151,CapRate,17),0)</f>
        <v>258</v>
      </c>
      <c r="BB151" s="72">
        <f>ROUND(AB151/VLOOKUP($C151,CapRate,18),0)</f>
        <v>281</v>
      </c>
      <c r="BC151" s="72">
        <f>ROUND(AC151/VLOOKUP($C151,CapRate,19),0)</f>
        <v>296</v>
      </c>
      <c r="BD151" s="72">
        <f>ROUND(AD151/VLOOKUP($C151,CapRate,20),0)</f>
        <v>299</v>
      </c>
      <c r="BE151" s="72">
        <f>ROUND(AE151/VLOOKUP($C151,CapRate,21),0)</f>
        <v>295</v>
      </c>
      <c r="BF151" s="72">
        <f>ROUND(AF151/VLOOKUP($C151,CapRate,22),0)</f>
        <v>289</v>
      </c>
      <c r="BG151" s="72">
        <f>ROUND(AG151/VLOOKUP($C151,CapRate,23),0)</f>
        <v>280</v>
      </c>
      <c r="BH151" s="72">
        <f>ROUND(AH151/VLOOKUP($C151,CapRate,24),0)</f>
        <v>260</v>
      </c>
      <c r="BI151" s="72">
        <f>ROUND(AI151/VLOOKUP($C151,CapRate,25),0)</f>
        <v>238</v>
      </c>
      <c r="BJ151" s="72">
        <f>ROUND(AJ151/VLOOKUP($C151,CapRate,26),0)</f>
        <v>219</v>
      </c>
      <c r="BK151" s="87">
        <f t="shared" si="26"/>
        <v>-7.9831932773109293E-2</v>
      </c>
      <c r="BL151" s="76"/>
      <c r="BM151" s="77"/>
      <c r="BN151" s="77">
        <f>BK151</f>
        <v>-7.9831932773109293E-2</v>
      </c>
      <c r="BO151" s="77"/>
      <c r="BP151" s="77"/>
    </row>
    <row r="152" spans="1:69" ht="15.9" customHeight="1" thickBot="1">
      <c r="A152" s="54">
        <v>50</v>
      </c>
      <c r="B152" s="22"/>
      <c r="C152" s="90" t="s">
        <v>99</v>
      </c>
      <c r="D152" s="91"/>
      <c r="E152" s="90" t="s">
        <v>41</v>
      </c>
      <c r="F152" s="190">
        <f>[1]AcreSummary!K46</f>
        <v>6.7687442076564366E-2</v>
      </c>
      <c r="G152" s="191">
        <f>[1]Irrigated!D53</f>
        <v>100</v>
      </c>
      <c r="H152" s="94">
        <f>[1]Irrigated!E53</f>
        <v>1</v>
      </c>
      <c r="I152" s="95"/>
      <c r="J152" s="96">
        <f>[1]Irrigated!H53</f>
        <v>43.41</v>
      </c>
      <c r="K152" s="97">
        <f>[1]Irrigated!I53</f>
        <v>42.99</v>
      </c>
      <c r="L152" s="98">
        <f>[1]Irrigated!J53</f>
        <v>43.23</v>
      </c>
      <c r="M152" s="96">
        <f>[1]Irrigated!K53</f>
        <v>44.18</v>
      </c>
      <c r="N152" s="99">
        <f>[1]Irrigated!L53</f>
        <v>45.47</v>
      </c>
      <c r="O152" s="100">
        <v>40.96</v>
      </c>
      <c r="P152" s="99">
        <f>[1]Irrigated!M53</f>
        <v>44.59</v>
      </c>
      <c r="Q152" s="101">
        <f>[1]Irrigated!N53</f>
        <v>43.8</v>
      </c>
      <c r="R152" s="102">
        <v>43.8</v>
      </c>
      <c r="S152" s="103">
        <f>[1]Irrigated!O53</f>
        <v>43.17</v>
      </c>
      <c r="T152" s="104">
        <f>[1]Irrigated!P53</f>
        <v>42.56</v>
      </c>
      <c r="U152" s="105">
        <f>[1]Irrigated!Q53</f>
        <v>43.37</v>
      </c>
      <c r="V152" s="98">
        <f>[1]Irrigated!R53</f>
        <v>34.909999999999997</v>
      </c>
      <c r="W152" s="98">
        <f>[1]Irrigated!S53</f>
        <v>36.979999999999997</v>
      </c>
      <c r="X152" s="98">
        <v>40.020000000000003</v>
      </c>
      <c r="Y152" s="98">
        <v>44.02</v>
      </c>
      <c r="Z152" s="98">
        <v>50.27</v>
      </c>
      <c r="AA152" s="98">
        <v>55.04</v>
      </c>
      <c r="AB152" s="98">
        <v>60.1</v>
      </c>
      <c r="AC152" s="98">
        <v>67.680000000000007</v>
      </c>
      <c r="AD152" s="98">
        <v>68.52</v>
      </c>
      <c r="AE152" s="98">
        <v>67.88</v>
      </c>
      <c r="AF152" s="98">
        <v>66.41</v>
      </c>
      <c r="AG152" s="106">
        <v>66.099999999999994</v>
      </c>
      <c r="AH152" s="107">
        <v>61.98</v>
      </c>
      <c r="AI152" s="107">
        <v>60.75</v>
      </c>
      <c r="AJ152" s="107">
        <v>54.08</v>
      </c>
      <c r="AK152" s="90">
        <f t="shared" si="19"/>
        <v>284</v>
      </c>
      <c r="AL152" s="90">
        <f t="shared" si="20"/>
        <v>281</v>
      </c>
      <c r="AM152" s="108">
        <f t="shared" si="21"/>
        <v>279</v>
      </c>
      <c r="AN152" s="91">
        <f t="shared" si="22"/>
        <v>289</v>
      </c>
      <c r="AO152" s="108">
        <f t="shared" si="29"/>
        <v>277</v>
      </c>
      <c r="AP152" s="109">
        <f t="shared" si="30"/>
        <v>304</v>
      </c>
      <c r="AQ152" s="110">
        <f t="shared" si="23"/>
        <v>296</v>
      </c>
      <c r="AR152" s="110">
        <f t="shared" si="23"/>
        <v>296</v>
      </c>
      <c r="AS152" s="110">
        <f t="shared" si="27"/>
        <v>291</v>
      </c>
      <c r="AT152" s="110">
        <f t="shared" si="28"/>
        <v>285</v>
      </c>
      <c r="AU152" s="110">
        <f t="shared" si="24"/>
        <v>289</v>
      </c>
      <c r="AV152" s="109">
        <f t="shared" si="25"/>
        <v>229</v>
      </c>
      <c r="AW152" s="109">
        <f>ROUND(W152/VLOOKUP($C152,CapRate,13),0)</f>
        <v>242</v>
      </c>
      <c r="AX152" s="109">
        <f>ROUND(X152/VLOOKUP($C152,CapRate,14),0)</f>
        <v>262</v>
      </c>
      <c r="AY152" s="109">
        <f>ROUND(Y152/VLOOKUP($C152,CapRate,15),0)</f>
        <v>288</v>
      </c>
      <c r="AZ152" s="109">
        <f>ROUND(Z152/VLOOKUP($C152,CapRate,16),0)</f>
        <v>328</v>
      </c>
      <c r="BA152" s="109">
        <f>ROUND(AA152/VLOOKUP($C152,CapRate,17),0)</f>
        <v>358</v>
      </c>
      <c r="BB152" s="109">
        <f>ROUND(AB152/VLOOKUP($C152,CapRate,18),0)</f>
        <v>389</v>
      </c>
      <c r="BC152" s="109">
        <f>ROUND(AC152/VLOOKUP($C152,CapRate,19),0)</f>
        <v>436</v>
      </c>
      <c r="BD152" s="109">
        <f>ROUND(AD152/VLOOKUP($C152,CapRate,20),0)</f>
        <v>440</v>
      </c>
      <c r="BE152" s="109">
        <f>ROUND(AE152/VLOOKUP($C152,CapRate,21),0)</f>
        <v>434</v>
      </c>
      <c r="BF152" s="109">
        <f>ROUND(AF152/VLOOKUP($C152,CapRate,22),0)</f>
        <v>424</v>
      </c>
      <c r="BG152" s="109">
        <f>ROUND(AG152/VLOOKUP($C152,CapRate,23),0)</f>
        <v>420</v>
      </c>
      <c r="BH152" s="109">
        <f>ROUND(AH152/VLOOKUP($C152,CapRate,24),0)</f>
        <v>393</v>
      </c>
      <c r="BI152" s="109">
        <f>ROUND(AI152/VLOOKUP($C152,CapRate,25),0)</f>
        <v>386</v>
      </c>
      <c r="BJ152" s="109">
        <f>ROUND(AJ152/VLOOKUP($C152,CapRate,26),0)</f>
        <v>346</v>
      </c>
      <c r="BK152" s="193">
        <f t="shared" si="26"/>
        <v>-0.10362694300518138</v>
      </c>
      <c r="BL152" s="114">
        <f>((F149*BK149)+(F150*BK150)+(F151*BK151)+(F152*BK152))</f>
        <v>-5.898921256893136E-2</v>
      </c>
      <c r="BM152" s="120"/>
      <c r="BN152" s="115"/>
      <c r="BO152" s="115">
        <f>BK152</f>
        <v>-0.10362694300518138</v>
      </c>
      <c r="BP152" s="115"/>
    </row>
    <row r="153" spans="1:69" ht="15.9" customHeight="1" thickTop="1">
      <c r="A153" s="54">
        <v>50</v>
      </c>
      <c r="B153" s="22"/>
      <c r="C153" s="8" t="s">
        <v>100</v>
      </c>
      <c r="D153" s="23" t="s">
        <v>100</v>
      </c>
      <c r="E153" s="8" t="s">
        <v>39</v>
      </c>
      <c r="F153" s="188">
        <f>[1]AcreSummary!M47</f>
        <v>0.40585452482081286</v>
      </c>
      <c r="G153" s="25"/>
      <c r="H153" s="117"/>
      <c r="I153" s="57">
        <f>[1]Native!E45</f>
        <v>8.75</v>
      </c>
      <c r="J153" s="58">
        <f>[1]Native!F45</f>
        <v>8.2270000000000003</v>
      </c>
      <c r="K153" s="80">
        <f>[1]Native!G45</f>
        <v>8.5670000000000002</v>
      </c>
      <c r="L153" s="68">
        <f>[1]Native!H45</f>
        <v>8.8729999999999993</v>
      </c>
      <c r="M153" s="58">
        <f>[1]Native!I45</f>
        <v>9.2155000000000005</v>
      </c>
      <c r="N153" s="81">
        <f>[1]Native!J45</f>
        <v>9.5299999999999994</v>
      </c>
      <c r="O153" s="62">
        <v>9.3000000000000007</v>
      </c>
      <c r="P153" s="81">
        <f>[1]Native!K45</f>
        <v>9.4600000000000009</v>
      </c>
      <c r="Q153" s="82">
        <f>[1]Native!L45</f>
        <v>9.3699999999999992</v>
      </c>
      <c r="R153" s="83">
        <v>9.3699999999999992</v>
      </c>
      <c r="S153" s="84">
        <f>[1]Native!M45</f>
        <v>9.3800000000000008</v>
      </c>
      <c r="T153" s="66">
        <f>[1]Native!N45</f>
        <v>9.33</v>
      </c>
      <c r="U153" s="67">
        <f>[1]Native!O45</f>
        <v>9.1</v>
      </c>
      <c r="V153" s="67">
        <f>[1]Native!P45</f>
        <v>6.29</v>
      </c>
      <c r="W153" s="67">
        <v>6.3</v>
      </c>
      <c r="X153" s="68">
        <v>6.57</v>
      </c>
      <c r="Y153" s="68">
        <v>6.77</v>
      </c>
      <c r="Z153" s="68">
        <v>7.99</v>
      </c>
      <c r="AA153" s="68">
        <v>8.94</v>
      </c>
      <c r="AB153" s="68">
        <v>9.93</v>
      </c>
      <c r="AC153" s="68">
        <v>10.62</v>
      </c>
      <c r="AD153" s="68">
        <v>11.71</v>
      </c>
      <c r="AE153" s="68">
        <v>12.64</v>
      </c>
      <c r="AF153" s="68">
        <v>12.76</v>
      </c>
      <c r="AG153" s="69">
        <v>12.96</v>
      </c>
      <c r="AH153" s="70">
        <v>12.73</v>
      </c>
      <c r="AI153" s="70">
        <v>12.55</v>
      </c>
      <c r="AJ153" s="70">
        <v>12.59</v>
      </c>
      <c r="AK153" s="8">
        <f t="shared" ref="AK153:AK238" si="31">ROUND(J153/VLOOKUP($C153,CapRate,2),0)</f>
        <v>55</v>
      </c>
      <c r="AL153" s="8">
        <f t="shared" ref="AL153:AL238" si="32">ROUND(K153/VLOOKUP($C153,CapRate,3),0)</f>
        <v>58</v>
      </c>
      <c r="AM153" s="85">
        <f t="shared" ref="AM153:AM238" si="33">ROUND(L153/VLOOKUP($C153,CapRate,4),0)</f>
        <v>60</v>
      </c>
      <c r="AN153" s="23">
        <f t="shared" ref="AN153:AN238" si="34">ROUND(M153/VLOOKUP($C153,CapRate,5),0)</f>
        <v>63</v>
      </c>
      <c r="AO153" s="85">
        <f t="shared" si="29"/>
        <v>67</v>
      </c>
      <c r="AP153" s="72">
        <f t="shared" si="30"/>
        <v>69</v>
      </c>
      <c r="AQ153" s="71">
        <f t="shared" si="23"/>
        <v>68</v>
      </c>
      <c r="AR153" s="71">
        <f t="shared" si="23"/>
        <v>68</v>
      </c>
      <c r="AS153" s="71">
        <f t="shared" si="27"/>
        <v>68</v>
      </c>
      <c r="AT153" s="71">
        <f t="shared" si="28"/>
        <v>67</v>
      </c>
      <c r="AU153" s="71">
        <f t="shared" si="24"/>
        <v>65</v>
      </c>
      <c r="AV153" s="72">
        <f t="shared" si="25"/>
        <v>44</v>
      </c>
      <c r="AW153" s="122">
        <f>IF(ROUND(W153/VLOOKUP($C153,CapRate,13),0)&gt;10,W153/VLOOKUP($C153,CapRate,13),10)</f>
        <v>44.366197183098592</v>
      </c>
      <c r="AX153" s="122">
        <f>IF(ROUND(X153/VLOOKUP($C153,CapRate,14),0)&gt;10,X153/VLOOKUP($C153,CapRate,14),10)</f>
        <v>46.202531645569621</v>
      </c>
      <c r="AY153" s="122">
        <f>IF(ROUND(Y153/VLOOKUP($C153,CapRate,15),0)&gt;10,Y153/VLOOKUP($C153,CapRate,15),10)</f>
        <v>47.442186405045547</v>
      </c>
      <c r="AZ153" s="122">
        <f>IF(ROUND(Z153/VLOOKUP($C153,CapRate,16),0)&gt;10,Z153/VLOOKUP($C153,CapRate,16),10)</f>
        <v>55.835080363382247</v>
      </c>
      <c r="BA153" s="122">
        <f>IF(ROUND(AA153/VLOOKUP($C153,CapRate,17),0)&gt;10,AA153/VLOOKUP($C153,CapRate,17),10)</f>
        <v>62.083333333333336</v>
      </c>
      <c r="BB153" s="122">
        <f>IF(ROUND(AB153/VLOOKUP($C153,CapRate,18),0)&gt;10,AB153/VLOOKUP($C153,CapRate,18),10)</f>
        <v>68.482758620689651</v>
      </c>
      <c r="BC153" s="122">
        <f>IF(ROUND(AC153/VLOOKUP($C153,CapRate,19),0)&gt;10,AC153/VLOOKUP($C153,CapRate,19),10)</f>
        <v>72.889498970487296</v>
      </c>
      <c r="BD153" s="122">
        <f>IF(ROUND(AD153/VLOOKUP($C153,CapRate,20),0)&gt;10,AD153/VLOOKUP($C153,CapRate,20),10)</f>
        <v>80.041011619958994</v>
      </c>
      <c r="BE153" s="122">
        <f>IF(ROUND(AE153/VLOOKUP($C153,CapRate,21),0)&gt;10,AE153/VLOOKUP($C153,CapRate,21),10)</f>
        <v>86.162235855487395</v>
      </c>
      <c r="BF153" s="122">
        <f>IF(ROUND(AF153/VLOOKUP($C153,CapRate,22),0)&gt;10,AF153/VLOOKUP($C153,CapRate,22),10)</f>
        <v>86.684782608695656</v>
      </c>
      <c r="BG153" s="122">
        <f>IF(ROUND(AG153/VLOOKUP($C153,CapRate,23),0)&gt;10,AG153/VLOOKUP($C153,CapRate,23),10)</f>
        <v>87.686062246278766</v>
      </c>
      <c r="BH153" s="122">
        <f>IF(ROUND(AH153/VLOOKUP($C153,CapRate,24),0)&gt;10,AH153/VLOOKUP($C153,CapRate,24),10)</f>
        <v>85.897435897435898</v>
      </c>
      <c r="BI153" s="122">
        <f>IF(ROUND(AI153/VLOOKUP($C153,CapRate,25),0)&gt;10,AI153/VLOOKUP($C153,CapRate,25),10)</f>
        <v>84.511784511784526</v>
      </c>
      <c r="BJ153" s="122">
        <f>IF(ROUND(AJ153/VLOOKUP($C153,CapRate,26),0)&gt;10,AJ153/VLOOKUP($C153,CapRate,26),10)</f>
        <v>84.667114996637522</v>
      </c>
      <c r="BK153" s="75">
        <f t="shared" si="26"/>
        <v>1.837974263001696E-3</v>
      </c>
      <c r="BL153" s="76"/>
      <c r="BM153" s="77">
        <f>BK153</f>
        <v>1.837974263001696E-3</v>
      </c>
      <c r="BN153" s="77"/>
      <c r="BO153" s="77"/>
      <c r="BP153" s="77"/>
    </row>
    <row r="154" spans="1:69" ht="15.9" customHeight="1">
      <c r="A154" s="54"/>
      <c r="B154" s="22"/>
      <c r="C154" s="8" t="s">
        <v>100</v>
      </c>
      <c r="D154" s="23"/>
      <c r="E154" s="8" t="s">
        <v>85</v>
      </c>
      <c r="F154" s="188">
        <f>[1]AcreSummary!L47</f>
        <v>5.3882389502551606E-4</v>
      </c>
      <c r="G154" s="25"/>
      <c r="H154" s="117"/>
      <c r="I154" s="57"/>
      <c r="J154" s="58">
        <f>[1]Tame!D14</f>
        <v>10.99</v>
      </c>
      <c r="K154" s="80">
        <f>[1]Tame!E14</f>
        <v>10.996</v>
      </c>
      <c r="L154" s="68">
        <f>[1]Tame!F14</f>
        <v>11.2355</v>
      </c>
      <c r="M154" s="58">
        <f>[1]Tame!G14</f>
        <v>11.553000000000001</v>
      </c>
      <c r="N154" s="81">
        <f>[1]Tame!H14</f>
        <v>11.82</v>
      </c>
      <c r="O154" s="62">
        <v>11.33</v>
      </c>
      <c r="P154" s="81">
        <f>[1]Tame!I14</f>
        <v>11.58</v>
      </c>
      <c r="Q154" s="82">
        <f>[1]Tame!J14</f>
        <v>11.09</v>
      </c>
      <c r="R154" s="83">
        <v>11.09</v>
      </c>
      <c r="S154" s="84">
        <f>[1]Tame!K14</f>
        <v>10.5</v>
      </c>
      <c r="T154" s="66">
        <f>[1]Tame!L14</f>
        <v>9.77</v>
      </c>
      <c r="U154" s="67">
        <f>[1]Tame!M14</f>
        <v>9.57</v>
      </c>
      <c r="V154" s="68">
        <f>[1]Tame!N14</f>
        <v>3.91</v>
      </c>
      <c r="W154" s="68">
        <f>[1]Tame!O14</f>
        <v>2.83</v>
      </c>
      <c r="X154" s="68">
        <v>3.2</v>
      </c>
      <c r="Y154" s="68">
        <v>3.49</v>
      </c>
      <c r="Z154" s="68">
        <v>4.99</v>
      </c>
      <c r="AA154" s="68">
        <v>6.75</v>
      </c>
      <c r="AB154" s="68">
        <v>9.52</v>
      </c>
      <c r="AC154" s="68">
        <v>11.53</v>
      </c>
      <c r="AD154" s="68">
        <v>14.14</v>
      </c>
      <c r="AE154" s="68">
        <v>17.510000000000002</v>
      </c>
      <c r="AF154" s="68">
        <v>19.579999999999998</v>
      </c>
      <c r="AG154" s="69">
        <v>21.51</v>
      </c>
      <c r="AH154" s="70">
        <v>22.96</v>
      </c>
      <c r="AI154" s="70">
        <v>24.2</v>
      </c>
      <c r="AJ154" s="70">
        <v>25.83</v>
      </c>
      <c r="AK154" s="8">
        <f>ROUND(J154/VLOOKUP($C154,CapRate,2),0)</f>
        <v>74</v>
      </c>
      <c r="AL154" s="8">
        <f>ROUND(K154/VLOOKUP($C154,CapRate,3),0)</f>
        <v>74</v>
      </c>
      <c r="AM154" s="85">
        <f>ROUND(L154/VLOOKUP($C154,CapRate,4),0)</f>
        <v>75</v>
      </c>
      <c r="AN154" s="23">
        <f>ROUND(M154/VLOOKUP($C154,CapRate,5),0)</f>
        <v>79</v>
      </c>
      <c r="AO154" s="85">
        <f t="shared" si="29"/>
        <v>82</v>
      </c>
      <c r="AP154" s="72">
        <f t="shared" si="30"/>
        <v>84</v>
      </c>
      <c r="AQ154" s="71">
        <f t="shared" si="23"/>
        <v>80</v>
      </c>
      <c r="AR154" s="71">
        <f t="shared" si="23"/>
        <v>80</v>
      </c>
      <c r="AS154" s="71">
        <f t="shared" si="27"/>
        <v>76</v>
      </c>
      <c r="AT154" s="71">
        <f t="shared" si="28"/>
        <v>70</v>
      </c>
      <c r="AU154" s="71">
        <f t="shared" si="24"/>
        <v>69</v>
      </c>
      <c r="AV154" s="72">
        <f>IF(ROUND(V154/VLOOKUP($C154,CapRate,12),0)&gt;AV153,V154/VLOOKUP($C154,CapRate,12),AV153)</f>
        <v>44</v>
      </c>
      <c r="AW154" s="72">
        <f>IF(ROUND(W154/VLOOKUP($C154,CapRate,13),0)&gt;AW153,W154/VLOOKUP($C154,CapRate,13),AW153)</f>
        <v>44.366197183098592</v>
      </c>
      <c r="AX154" s="72">
        <f>IF(ROUND(X154/VLOOKUP($C154,CapRate,14),0)&gt;AX153,X154/VLOOKUP($C154,CapRate,14),AX153)</f>
        <v>46.202531645569621</v>
      </c>
      <c r="AY154" s="72">
        <f>IF(ROUND(Y154/VLOOKUP($C154,CapRate,15),0)&gt;AY153,Y154/VLOOKUP($C154,CapRate,15),AY153)</f>
        <v>47.442186405045547</v>
      </c>
      <c r="AZ154" s="72">
        <f>IF(ROUND(Z154/VLOOKUP($C154,CapRate,16),0)&gt;AZ153,Z154/VLOOKUP($C154,CapRate,16),AZ153)</f>
        <v>55.835080363382247</v>
      </c>
      <c r="BA154" s="72">
        <f>IF(ROUND(AA154/VLOOKUP($C154,CapRate,17),0)&gt;BA153,AA154/VLOOKUP($C154,CapRate,17),BA153)</f>
        <v>62.083333333333336</v>
      </c>
      <c r="BB154" s="72">
        <f>IF(ROUND(AB154/VLOOKUP($C154,CapRate,18),0)&gt;BB153,AB154/VLOOKUP($C154,CapRate,18),BB153)</f>
        <v>68.482758620689651</v>
      </c>
      <c r="BC154" s="72">
        <f>IF(ROUND(AC154/VLOOKUP($C154,CapRate,19),0)&gt;BC153,AC154/VLOOKUP($C154,CapRate,19),BC153)</f>
        <v>79.135209334248458</v>
      </c>
      <c r="BD154" s="72">
        <f>IF(ROUND(AD154/VLOOKUP($C154,CapRate,20),0)&gt;BD153,AD154/VLOOKUP($C154,CapRate,20),BD153)</f>
        <v>96.650717703349272</v>
      </c>
      <c r="BE154" s="72">
        <f>IF(ROUND(AE154/VLOOKUP($C154,CapRate,21),0)&gt;BE153,AE154/VLOOKUP($C154,CapRate,21),BE153)</f>
        <v>119.35923653715066</v>
      </c>
      <c r="BF154" s="72">
        <f>IF(ROUND(AF154/VLOOKUP($C154,CapRate,22),0)&gt;BF153,AF154/VLOOKUP($C154,CapRate,22),BF153)</f>
        <v>133.01630434782606</v>
      </c>
      <c r="BG154" s="72">
        <f>IF(ROUND(AG154/VLOOKUP($C154,CapRate,23),0)&gt;BG153,AG154/VLOOKUP($C154,CapRate,23),BG153)</f>
        <v>145.5345060893099</v>
      </c>
      <c r="BH154" s="72">
        <f>IF(ROUND(AH154/VLOOKUP($C154,CapRate,24),0)&gt;BH153,AH154/VLOOKUP($C154,CapRate,24),BH153)</f>
        <v>154.92577597840756</v>
      </c>
      <c r="BI154" s="72">
        <f>IF(ROUND(AI154/VLOOKUP($C154,CapRate,25),0)&gt;BI153,AI154/VLOOKUP($C154,CapRate,25),BI153)</f>
        <v>162.96296296296296</v>
      </c>
      <c r="BJ154" s="72">
        <f>IF(ROUND(AJ154/VLOOKUP($C154,CapRate,26),0)&gt;BJ153,AJ154/VLOOKUP($C154,CapRate,26),BJ153)</f>
        <v>173.70544720914592</v>
      </c>
      <c r="BK154" s="87">
        <f t="shared" si="26"/>
        <v>6.5919789692486352E-2</v>
      </c>
      <c r="BL154" s="76"/>
      <c r="BM154" s="77"/>
      <c r="BN154" s="77"/>
      <c r="BO154" s="77"/>
      <c r="BP154" s="77">
        <f>BK154</f>
        <v>6.5919789692486352E-2</v>
      </c>
    </row>
    <row r="155" spans="1:69" ht="15.9" customHeight="1">
      <c r="A155" s="54">
        <v>50</v>
      </c>
      <c r="B155" s="22"/>
      <c r="C155" s="8" t="s">
        <v>100</v>
      </c>
      <c r="D155" s="23"/>
      <c r="E155" s="8" t="s">
        <v>40</v>
      </c>
      <c r="F155" s="188">
        <f>[1]AcreSummary!J47</f>
        <v>0.58317827967628022</v>
      </c>
      <c r="G155" s="25"/>
      <c r="H155" s="117"/>
      <c r="I155" s="57">
        <f>[1]Dry!E47</f>
        <v>19.75</v>
      </c>
      <c r="J155" s="58">
        <f>[1]Dry!F47</f>
        <v>19</v>
      </c>
      <c r="K155" s="80">
        <f>[1]Dry!G47</f>
        <v>19</v>
      </c>
      <c r="L155" s="68">
        <f>[1]Dry!H47</f>
        <v>19.78</v>
      </c>
      <c r="M155" s="58">
        <f>[1]Dry!I47</f>
        <v>21.24</v>
      </c>
      <c r="N155" s="81">
        <f>[1]Dry!J47</f>
        <v>22.94</v>
      </c>
      <c r="O155" s="62">
        <v>22.68</v>
      </c>
      <c r="P155" s="81">
        <f>[1]Dry!K47</f>
        <v>24.76</v>
      </c>
      <c r="Q155" s="82">
        <f>[1]Dry!L47</f>
        <v>27.01</v>
      </c>
      <c r="R155" s="83">
        <f>Q155*0.95</f>
        <v>25.659500000000001</v>
      </c>
      <c r="S155" s="84">
        <f>[1]Dry!N47</f>
        <v>28.54</v>
      </c>
      <c r="T155" s="66">
        <f>[1]Dry!O47</f>
        <v>30.22</v>
      </c>
      <c r="U155" s="67">
        <f>[1]Dry!P47</f>
        <v>30.74</v>
      </c>
      <c r="V155" s="68">
        <f>[1]Dry!Q47</f>
        <v>29.38</v>
      </c>
      <c r="W155" s="68">
        <f>[1]Dry!R47</f>
        <v>32.69</v>
      </c>
      <c r="X155" s="68">
        <f>[1]Dry!S47</f>
        <v>37.11</v>
      </c>
      <c r="Y155" s="68">
        <f>[1]Dry!T47</f>
        <v>40.72</v>
      </c>
      <c r="Z155" s="68">
        <v>45.62</v>
      </c>
      <c r="AA155" s="68">
        <v>50.94</v>
      </c>
      <c r="AB155" s="68">
        <v>56.03</v>
      </c>
      <c r="AC155" s="68">
        <v>59.16</v>
      </c>
      <c r="AD155" s="68">
        <v>60.02</v>
      </c>
      <c r="AE155" s="68">
        <v>59.77</v>
      </c>
      <c r="AF155" s="68">
        <v>59.73</v>
      </c>
      <c r="AG155" s="69">
        <v>59.4</v>
      </c>
      <c r="AH155" s="70">
        <v>56.4</v>
      </c>
      <c r="AI155" s="70">
        <v>51.28</v>
      </c>
      <c r="AJ155" s="70">
        <v>47.98</v>
      </c>
      <c r="AK155" s="8">
        <f t="shared" si="31"/>
        <v>128</v>
      </c>
      <c r="AL155" s="8">
        <f t="shared" si="32"/>
        <v>128</v>
      </c>
      <c r="AM155" s="85">
        <f t="shared" si="33"/>
        <v>133</v>
      </c>
      <c r="AN155" s="23">
        <f t="shared" si="34"/>
        <v>146</v>
      </c>
      <c r="AO155" s="85">
        <f t="shared" si="29"/>
        <v>163</v>
      </c>
      <c r="AP155" s="72">
        <f t="shared" si="30"/>
        <v>180</v>
      </c>
      <c r="AQ155" s="71">
        <f t="shared" si="23"/>
        <v>196</v>
      </c>
      <c r="AR155" s="71">
        <f t="shared" si="23"/>
        <v>186</v>
      </c>
      <c r="AS155" s="71">
        <f t="shared" si="27"/>
        <v>206</v>
      </c>
      <c r="AT155" s="71">
        <f t="shared" si="28"/>
        <v>218</v>
      </c>
      <c r="AU155" s="71">
        <f t="shared" si="24"/>
        <v>221</v>
      </c>
      <c r="AV155" s="72">
        <f t="shared" si="25"/>
        <v>207</v>
      </c>
      <c r="AW155" s="72">
        <f>ROUND(W155/VLOOKUP($C155,CapRate,13),0)</f>
        <v>230</v>
      </c>
      <c r="AX155" s="72">
        <f>ROUND(X155/VLOOKUP($C155,CapRate,14),0)</f>
        <v>261</v>
      </c>
      <c r="AY155" s="72">
        <f>ROUND(Y155/VLOOKUP($C155,CapRate,15),0)</f>
        <v>285</v>
      </c>
      <c r="AZ155" s="72">
        <f>ROUND(Z155/VLOOKUP($C155,CapRate,16),0)</f>
        <v>319</v>
      </c>
      <c r="BA155" s="72">
        <f>ROUND(AA155/VLOOKUP($C155,CapRate,17),0)</f>
        <v>354</v>
      </c>
      <c r="BB155" s="72">
        <f>ROUND(AB155/VLOOKUP($C155,CapRate,18),0)</f>
        <v>386</v>
      </c>
      <c r="BC155" s="72">
        <f>ROUND(AC155/VLOOKUP($C155,CapRate,19),0)</f>
        <v>406</v>
      </c>
      <c r="BD155" s="72">
        <f>ROUND(AD155/VLOOKUP($C155,CapRate,20),0)</f>
        <v>410</v>
      </c>
      <c r="BE155" s="72">
        <f>ROUND(AE155/VLOOKUP($C155,CapRate,21),0)</f>
        <v>407</v>
      </c>
      <c r="BF155" s="72">
        <f>ROUND(AF155/VLOOKUP($C155,CapRate,22),0)</f>
        <v>406</v>
      </c>
      <c r="BG155" s="72">
        <f>ROUND(AG155/VLOOKUP($C155,CapRate,23),0)</f>
        <v>402</v>
      </c>
      <c r="BH155" s="72">
        <f>ROUND(AH155/VLOOKUP($C155,CapRate,24),0)</f>
        <v>381</v>
      </c>
      <c r="BI155" s="72">
        <f>ROUND(AI155/VLOOKUP($C155,CapRate,25),0)</f>
        <v>345</v>
      </c>
      <c r="BJ155" s="72">
        <f>ROUND(AJ155/VLOOKUP($C155,CapRate,26),0)</f>
        <v>323</v>
      </c>
      <c r="BK155" s="87">
        <f t="shared" si="26"/>
        <v>-6.3768115942029024E-2</v>
      </c>
      <c r="BL155" s="76"/>
      <c r="BM155" s="77"/>
      <c r="BN155" s="77">
        <f>BK155</f>
        <v>-6.3768115942029024E-2</v>
      </c>
      <c r="BO155" s="77"/>
      <c r="BP155" s="77"/>
    </row>
    <row r="156" spans="1:69" ht="15.9" customHeight="1" thickBot="1">
      <c r="A156" s="54">
        <v>50</v>
      </c>
      <c r="B156" s="22"/>
      <c r="C156" s="90" t="s">
        <v>100</v>
      </c>
      <c r="D156" s="91"/>
      <c r="E156" s="90" t="s">
        <v>41</v>
      </c>
      <c r="F156" s="190">
        <f>[1]AcreSummary!K47</f>
        <v>1.0428371607881421E-2</v>
      </c>
      <c r="G156" s="191">
        <f>[1]Irrigated!D54</f>
        <v>100</v>
      </c>
      <c r="H156" s="94">
        <f>[1]Irrigated!E54</f>
        <v>1</v>
      </c>
      <c r="I156" s="95"/>
      <c r="J156" s="96">
        <f>[1]Irrigated!H54</f>
        <v>46.88</v>
      </c>
      <c r="K156" s="97">
        <f>[1]Irrigated!I54</f>
        <v>47.54</v>
      </c>
      <c r="L156" s="98">
        <f>[1]Irrigated!J54</f>
        <v>48.95</v>
      </c>
      <c r="M156" s="96">
        <f>[1]Irrigated!K54</f>
        <v>51.12</v>
      </c>
      <c r="N156" s="99">
        <f>[1]Irrigated!L54</f>
        <v>53.69</v>
      </c>
      <c r="O156" s="100">
        <v>49.52</v>
      </c>
      <c r="P156" s="99">
        <f>[1]Irrigated!M54</f>
        <v>54.02</v>
      </c>
      <c r="Q156" s="101">
        <f>[1]Irrigated!N54</f>
        <v>52.79</v>
      </c>
      <c r="R156" s="102">
        <v>52.79</v>
      </c>
      <c r="S156" s="103">
        <f>[1]Irrigated!O54</f>
        <v>51.72</v>
      </c>
      <c r="T156" s="104">
        <f>[1]Irrigated!P54</f>
        <v>50.67</v>
      </c>
      <c r="U156" s="105">
        <f>[1]Irrigated!Q54</f>
        <v>47.71</v>
      </c>
      <c r="V156" s="98">
        <f>[1]Irrigated!R54</f>
        <v>33.020000000000003</v>
      </c>
      <c r="W156" s="98">
        <f>[1]Irrigated!S54</f>
        <v>35.22</v>
      </c>
      <c r="X156" s="98">
        <v>38.409999999999997</v>
      </c>
      <c r="Y156" s="98">
        <v>45.29</v>
      </c>
      <c r="Z156" s="98">
        <v>51.73</v>
      </c>
      <c r="AA156" s="98">
        <v>56.57</v>
      </c>
      <c r="AB156" s="98">
        <v>64.39</v>
      </c>
      <c r="AC156" s="98">
        <v>69.86</v>
      </c>
      <c r="AD156" s="98">
        <v>71.239999999999995</v>
      </c>
      <c r="AE156" s="98">
        <v>70.64</v>
      </c>
      <c r="AF156" s="98">
        <v>68.88</v>
      </c>
      <c r="AG156" s="106">
        <v>68.62</v>
      </c>
      <c r="AH156" s="107">
        <v>64.5</v>
      </c>
      <c r="AI156" s="107">
        <v>56.75</v>
      </c>
      <c r="AJ156" s="107">
        <v>49.94</v>
      </c>
      <c r="AK156" s="90">
        <f t="shared" si="31"/>
        <v>316</v>
      </c>
      <c r="AL156" s="90">
        <f t="shared" si="32"/>
        <v>321</v>
      </c>
      <c r="AM156" s="108">
        <f t="shared" si="33"/>
        <v>328</v>
      </c>
      <c r="AN156" s="91">
        <f t="shared" si="34"/>
        <v>351</v>
      </c>
      <c r="AO156" s="108">
        <f t="shared" si="29"/>
        <v>356</v>
      </c>
      <c r="AP156" s="109">
        <f t="shared" si="30"/>
        <v>393</v>
      </c>
      <c r="AQ156" s="110">
        <f t="shared" si="23"/>
        <v>383</v>
      </c>
      <c r="AR156" s="110">
        <f t="shared" si="23"/>
        <v>383</v>
      </c>
      <c r="AS156" s="110">
        <f t="shared" si="27"/>
        <v>374</v>
      </c>
      <c r="AT156" s="110">
        <f t="shared" si="28"/>
        <v>365</v>
      </c>
      <c r="AU156" s="110">
        <f t="shared" si="24"/>
        <v>343</v>
      </c>
      <c r="AV156" s="109">
        <f t="shared" si="25"/>
        <v>233</v>
      </c>
      <c r="AW156" s="109">
        <f>ROUND(W156/VLOOKUP($C156,CapRate,13),0)</f>
        <v>248</v>
      </c>
      <c r="AX156" s="109">
        <f>ROUND(X156/VLOOKUP($C156,CapRate,14),0)</f>
        <v>270</v>
      </c>
      <c r="AY156" s="109">
        <f>ROUND(Y156/VLOOKUP($C156,CapRate,15),0)</f>
        <v>317</v>
      </c>
      <c r="AZ156" s="109">
        <f>ROUND(Z156/VLOOKUP($C156,CapRate,16),0)</f>
        <v>361</v>
      </c>
      <c r="BA156" s="109">
        <f>ROUND(AA156/VLOOKUP($C156,CapRate,17),0)</f>
        <v>393</v>
      </c>
      <c r="BB156" s="109">
        <f>ROUND(AB156/VLOOKUP($C156,CapRate,18),0)</f>
        <v>444</v>
      </c>
      <c r="BC156" s="109">
        <f>ROUND(AC156/VLOOKUP($C156,CapRate,19),0)</f>
        <v>479</v>
      </c>
      <c r="BD156" s="109">
        <f>ROUND(AD156/VLOOKUP($C156,CapRate,20),0)</f>
        <v>487</v>
      </c>
      <c r="BE156" s="109">
        <f>ROUND(AE156/VLOOKUP($C156,CapRate,21),0)</f>
        <v>482</v>
      </c>
      <c r="BF156" s="109">
        <f>ROUND(AF156/VLOOKUP($C156,CapRate,22),0)</f>
        <v>468</v>
      </c>
      <c r="BG156" s="109">
        <f>ROUND(AG156/VLOOKUP($C156,CapRate,23),0)</f>
        <v>464</v>
      </c>
      <c r="BH156" s="109">
        <f>ROUND(AH156/VLOOKUP($C156,CapRate,24),0)</f>
        <v>435</v>
      </c>
      <c r="BI156" s="109">
        <f>ROUND(AI156/VLOOKUP($C156,CapRate,25),0)</f>
        <v>382</v>
      </c>
      <c r="BJ156" s="109">
        <f>ROUND(AJ156/VLOOKUP($C156,CapRate,26),0)</f>
        <v>336</v>
      </c>
      <c r="BK156" s="193">
        <f t="shared" si="26"/>
        <v>-0.12041884816753923</v>
      </c>
      <c r="BL156" s="114">
        <f>((F153*BK153)+(F154*BK154)+(F155*BK155)+(F156*BK156))</f>
        <v>-3.7662483321569407E-2</v>
      </c>
      <c r="BM156" s="120"/>
      <c r="BN156" s="115"/>
      <c r="BO156" s="115">
        <f>BK156</f>
        <v>-0.12041884816753923</v>
      </c>
      <c r="BP156" s="115"/>
    </row>
    <row r="157" spans="1:69" ht="15.9" customHeight="1" thickTop="1">
      <c r="A157" s="54">
        <v>50</v>
      </c>
      <c r="B157" s="22"/>
      <c r="C157" s="8" t="s">
        <v>101</v>
      </c>
      <c r="D157" s="23" t="s">
        <v>101</v>
      </c>
      <c r="E157" s="8" t="s">
        <v>39</v>
      </c>
      <c r="F157" s="188">
        <f>[1]AcreSummary!M48</f>
        <v>0.51873201519134982</v>
      </c>
      <c r="G157" s="25"/>
      <c r="H157" s="117"/>
      <c r="I157" s="57">
        <f>[1]Native!E46</f>
        <v>5.56</v>
      </c>
      <c r="J157" s="58">
        <f>[1]Native!F46</f>
        <v>5.609</v>
      </c>
      <c r="K157" s="80">
        <f>[1]Native!G46</f>
        <v>5.87</v>
      </c>
      <c r="L157" s="68">
        <f>[1]Native!H46</f>
        <v>6.0819999999999999</v>
      </c>
      <c r="M157" s="58">
        <f>[1]Native!I46</f>
        <v>6.32</v>
      </c>
      <c r="N157" s="81">
        <f>[1]Native!J46</f>
        <v>6.52</v>
      </c>
      <c r="O157" s="62">
        <v>6.53</v>
      </c>
      <c r="P157" s="81">
        <f>[1]Native!K46</f>
        <v>6.48</v>
      </c>
      <c r="Q157" s="82">
        <f>[1]Native!L46</f>
        <v>6.39</v>
      </c>
      <c r="R157" s="83">
        <v>6.39</v>
      </c>
      <c r="S157" s="84">
        <f>[1]Native!M46</f>
        <v>6.39</v>
      </c>
      <c r="T157" s="66">
        <f>[1]Native!N46</f>
        <v>6.3</v>
      </c>
      <c r="U157" s="67">
        <f>[1]Native!O46</f>
        <v>6.11</v>
      </c>
      <c r="V157" s="67">
        <f>[1]Native!P46</f>
        <v>3.22</v>
      </c>
      <c r="W157" s="67">
        <f>[1]Native!Q46</f>
        <v>2.58</v>
      </c>
      <c r="X157" s="68">
        <v>2.66</v>
      </c>
      <c r="Y157" s="68">
        <v>2.7</v>
      </c>
      <c r="Z157" s="68">
        <v>3.68</v>
      </c>
      <c r="AA157" s="68">
        <v>4.41</v>
      </c>
      <c r="AB157" s="68">
        <v>5.22</v>
      </c>
      <c r="AC157" s="68">
        <v>5.97</v>
      </c>
      <c r="AD157" s="68">
        <v>6.92</v>
      </c>
      <c r="AE157" s="68">
        <v>7.8</v>
      </c>
      <c r="AF157" s="68">
        <v>7.83</v>
      </c>
      <c r="AG157" s="69">
        <v>7.93</v>
      </c>
      <c r="AH157" s="70">
        <v>7.7</v>
      </c>
      <c r="AI157" s="70">
        <v>7.44</v>
      </c>
      <c r="AJ157" s="70">
        <v>7.44</v>
      </c>
      <c r="AK157" s="8">
        <f t="shared" si="31"/>
        <v>38</v>
      </c>
      <c r="AL157" s="8">
        <f t="shared" si="32"/>
        <v>40</v>
      </c>
      <c r="AM157" s="85">
        <f t="shared" si="33"/>
        <v>41</v>
      </c>
      <c r="AN157" s="23">
        <f t="shared" si="34"/>
        <v>44</v>
      </c>
      <c r="AO157" s="85">
        <f t="shared" si="29"/>
        <v>47</v>
      </c>
      <c r="AP157" s="72">
        <f t="shared" si="30"/>
        <v>48</v>
      </c>
      <c r="AQ157" s="71">
        <f t="shared" si="23"/>
        <v>47</v>
      </c>
      <c r="AR157" s="71">
        <f t="shared" si="23"/>
        <v>47</v>
      </c>
      <c r="AS157" s="71">
        <f t="shared" si="27"/>
        <v>47</v>
      </c>
      <c r="AT157" s="71">
        <f t="shared" si="28"/>
        <v>46</v>
      </c>
      <c r="AU157" s="71">
        <f t="shared" si="24"/>
        <v>45</v>
      </c>
      <c r="AV157" s="72">
        <f t="shared" si="25"/>
        <v>23</v>
      </c>
      <c r="AW157" s="122">
        <f>IF(ROUND(W157/VLOOKUP($C157,CapRate,13),0)&gt;10,W157/VLOOKUP($C157,CapRate,13),10)</f>
        <v>18.709209572153735</v>
      </c>
      <c r="AX157" s="122">
        <f>IF(ROUND(X157/VLOOKUP($C157,CapRate,14),0)&gt;10,X157/VLOOKUP($C157,CapRate,14),10)</f>
        <v>19.289340101522843</v>
      </c>
      <c r="AY157" s="122">
        <f>IF(ROUND(Y157/VLOOKUP($C157,CapRate,15),0)&gt;10,Y157/VLOOKUP($C157,CapRate,15),10)</f>
        <v>19.5794053662074</v>
      </c>
      <c r="AZ157" s="122">
        <f>IF(ROUND(Z157/VLOOKUP($C157,CapRate,16),0)&gt;10,Z157/VLOOKUP($C157,CapRate,16),10)</f>
        <v>26.705370101596518</v>
      </c>
      <c r="BA157" s="122">
        <f>IF(ROUND(AA157/VLOOKUP($C157,CapRate,17),0)&gt;10,AA157/VLOOKUP($C157,CapRate,17),10)</f>
        <v>31.979695431472084</v>
      </c>
      <c r="BB157" s="122">
        <f>IF(ROUND(AB157/VLOOKUP($C157,CapRate,18),0)&gt;10,AB157/VLOOKUP($C157,CapRate,18),10)</f>
        <v>37.8535170413343</v>
      </c>
      <c r="BC157" s="122">
        <f>IF(ROUND(AC157/VLOOKUP($C157,CapRate,19),0)&gt;10,AC157/VLOOKUP($C157,CapRate,19),10)</f>
        <v>43.260869565217384</v>
      </c>
      <c r="BD157" s="122">
        <f>IF(ROUND(AD157/VLOOKUP($C157,CapRate,20),0)&gt;10,AD157/VLOOKUP($C157,CapRate,20),10)</f>
        <v>50.181290790427845</v>
      </c>
      <c r="BE157" s="122">
        <f>IF(ROUND(AE157/VLOOKUP($C157,CapRate,21),0)&gt;10,AE157/VLOOKUP($C157,CapRate,21),10)</f>
        <v>56.562726613488039</v>
      </c>
      <c r="BF157" s="122">
        <f>IF(ROUND(AF157/VLOOKUP($C157,CapRate,22),0)&gt;10,AF157/VLOOKUP($C157,CapRate,22),10)</f>
        <v>56.780275562001449</v>
      </c>
      <c r="BG157" s="122">
        <f>IF(ROUND(AG157/VLOOKUP($C157,CapRate,23),0)&gt;10,AG157/VLOOKUP($C157,CapRate,23),10)</f>
        <v>57.505438723712835</v>
      </c>
      <c r="BH157" s="122">
        <f>IF(ROUND(AH157/VLOOKUP($C157,CapRate,24),0)&gt;10,AH157/VLOOKUP($C157,CapRate,24),10)</f>
        <v>55.79710144927536</v>
      </c>
      <c r="BI157" s="122">
        <v>54</v>
      </c>
      <c r="BJ157" s="122">
        <v>54</v>
      </c>
      <c r="BK157" s="75">
        <f t="shared" si="26"/>
        <v>0</v>
      </c>
      <c r="BL157" s="76"/>
      <c r="BM157" s="127">
        <f>BK157</f>
        <v>0</v>
      </c>
      <c r="BN157" s="77"/>
      <c r="BO157" s="77"/>
      <c r="BP157" s="77"/>
    </row>
    <row r="158" spans="1:69" ht="15.9" customHeight="1">
      <c r="A158" s="54"/>
      <c r="B158" s="22"/>
      <c r="C158" s="8" t="s">
        <v>101</v>
      </c>
      <c r="D158" s="23"/>
      <c r="E158" s="8" t="s">
        <v>85</v>
      </c>
      <c r="F158" s="188">
        <f>[1]AcreSummary!L48</f>
        <v>1.0367604948548917E-3</v>
      </c>
      <c r="G158" s="25"/>
      <c r="H158" s="117"/>
      <c r="I158" s="57"/>
      <c r="J158" s="58">
        <f>[1]Tame!D15</f>
        <v>7.2030000000000003</v>
      </c>
      <c r="K158" s="80">
        <f>[1]Tame!E15</f>
        <v>6.3970000000000002</v>
      </c>
      <c r="L158" s="68">
        <f>[1]Tame!F15</f>
        <v>5.7</v>
      </c>
      <c r="M158" s="58">
        <f>[1]Tame!G15</f>
        <v>5.0199999999999996</v>
      </c>
      <c r="N158" s="81">
        <f>[1]Tame!H15</f>
        <v>4.29</v>
      </c>
      <c r="O158" s="62">
        <v>6.86</v>
      </c>
      <c r="P158" s="81">
        <f>[1]Tame!I15</f>
        <v>3.31</v>
      </c>
      <c r="Q158" s="82">
        <f>[1]Tame!J15</f>
        <v>2.78</v>
      </c>
      <c r="R158" s="83">
        <v>2.78</v>
      </c>
      <c r="S158" s="84">
        <f>[1]Tame!K15</f>
        <v>1.72</v>
      </c>
      <c r="T158" s="66">
        <f>[1]Tame!L15</f>
        <v>-0.17</v>
      </c>
      <c r="U158" s="67">
        <f>[1]Tame!M15</f>
        <v>-0.34</v>
      </c>
      <c r="V158" s="68">
        <f>[1]Tame!N15</f>
        <v>-5.8</v>
      </c>
      <c r="W158" s="68">
        <f>[1]Tame!O15</f>
        <v>-7.29</v>
      </c>
      <c r="X158" s="68">
        <v>-7.41</v>
      </c>
      <c r="Y158" s="68">
        <v>-7.56</v>
      </c>
      <c r="Z158" s="68">
        <v>-6.65</v>
      </c>
      <c r="AA158" s="68">
        <v>-5.61</v>
      </c>
      <c r="AB158" s="68">
        <v>-4.57</v>
      </c>
      <c r="AC158" s="68">
        <v>0</v>
      </c>
      <c r="AD158" s="68">
        <v>-1.61</v>
      </c>
      <c r="AE158" s="68">
        <v>0.59</v>
      </c>
      <c r="AF158" s="68">
        <v>1.43</v>
      </c>
      <c r="AG158" s="69">
        <v>2.2799999999999998</v>
      </c>
      <c r="AH158" s="70">
        <v>2.58</v>
      </c>
      <c r="AI158" s="70">
        <v>3.25</v>
      </c>
      <c r="AJ158" s="70">
        <v>3.76</v>
      </c>
      <c r="AK158" s="8">
        <f>ROUND(J158/VLOOKUP($C158,CapRate,2),0)</f>
        <v>49</v>
      </c>
      <c r="AL158" s="8">
        <f>ROUND(K158/VLOOKUP($C158,CapRate,3),0)</f>
        <v>44</v>
      </c>
      <c r="AM158" s="85">
        <f>ROUND(L158/VLOOKUP($C158,CapRate,4),0)</f>
        <v>39</v>
      </c>
      <c r="AN158" s="23">
        <f>ROUND(M158/VLOOKUP($C158,CapRate,5),0)</f>
        <v>35</v>
      </c>
      <c r="AO158" s="85">
        <f t="shared" si="29"/>
        <v>50</v>
      </c>
      <c r="AP158" s="72">
        <f t="shared" si="30"/>
        <v>24</v>
      </c>
      <c r="AQ158" s="71">
        <f t="shared" si="23"/>
        <v>20</v>
      </c>
      <c r="AR158" s="71">
        <f t="shared" si="23"/>
        <v>20</v>
      </c>
      <c r="AS158" s="71">
        <v>0</v>
      </c>
      <c r="AT158" s="71">
        <v>0</v>
      </c>
      <c r="AU158" s="71">
        <v>0</v>
      </c>
      <c r="AV158" s="72">
        <f>IF(ROUND(V158/VLOOKUP($C158,CapRate,12),0)&gt;AV157,V158/VLOOKUP($C158,CapRate,12),AV157)</f>
        <v>23</v>
      </c>
      <c r="AW158" s="72">
        <f>IF(ROUND(W158/VLOOKUP($C158,CapRate,13),0)&gt;AW157,W158/VLOOKUP($C158,CapRate,13),AW157)</f>
        <v>18.709209572153735</v>
      </c>
      <c r="AX158" s="72">
        <f>IF(ROUND(X158/VLOOKUP($C158,CapRate,14),0)&gt;AX157,X158/VLOOKUP($C158,CapRate,14),AX157)</f>
        <v>19.289340101522843</v>
      </c>
      <c r="AY158" s="72">
        <f>IF(ROUND(Y158/VLOOKUP($C158,CapRate,15),0)&gt;AY157,Y158/VLOOKUP($C158,CapRate,15),AY157)</f>
        <v>19.5794053662074</v>
      </c>
      <c r="AZ158" s="72">
        <f>IF(ROUND(Z158/VLOOKUP($C158,CapRate,16),0)&gt;AZ157,Z158/VLOOKUP($C158,CapRate,16),AZ157)</f>
        <v>26.705370101596518</v>
      </c>
      <c r="BA158" s="72">
        <f>IF(ROUND(AA158/VLOOKUP($C158,CapRate,17),0)&gt;BA157,AA158/VLOOKUP($C158,CapRate,17),BA157)</f>
        <v>31.979695431472084</v>
      </c>
      <c r="BB158" s="72">
        <f>IF(ROUND(AB158/VLOOKUP($C158,CapRate,18),0)&gt;BB157,AB158/VLOOKUP($C158,CapRate,18),BB157)</f>
        <v>37.8535170413343</v>
      </c>
      <c r="BC158" s="72">
        <f>IF(ROUND(AC158/VLOOKUP($C158,CapRate,19),0)&gt;BC157,AC158/VLOOKUP($C158,CapRate,19),BC157)</f>
        <v>43.260869565217384</v>
      </c>
      <c r="BD158" s="72">
        <f>IF(ROUND(AD158/VLOOKUP($C158,CapRate,20),0)&gt;BD157,AD158/VLOOKUP($C158,CapRate,20),BD157)</f>
        <v>50.181290790427845</v>
      </c>
      <c r="BE158" s="72">
        <f>IF(ROUND(AE158/VLOOKUP($C158,CapRate,21),0)&gt;BE157,AE158/VLOOKUP($C158,CapRate,21),BE157)</f>
        <v>56.562726613488039</v>
      </c>
      <c r="BF158" s="72">
        <f>IF(ROUND(AF158/VLOOKUP($C158,CapRate,22),0)&gt;BF157,AF158/VLOOKUP($C158,CapRate,22),BF157)</f>
        <v>56.780275562001449</v>
      </c>
      <c r="BG158" s="72">
        <f>IF(ROUND(AG158/VLOOKUP($C158,CapRate,23),0)&gt;BG157,AG158/VLOOKUP($C158,CapRate,23),BG157)</f>
        <v>57.505438723712835</v>
      </c>
      <c r="BH158" s="72">
        <f>IF(ROUND(AH158/VLOOKUP($C158,CapRate,24),0)&gt;BH157,AH158/VLOOKUP($C158,CapRate,24),BH157)</f>
        <v>55.79710144927536</v>
      </c>
      <c r="BI158" s="72">
        <v>54</v>
      </c>
      <c r="BJ158" s="72">
        <v>54</v>
      </c>
      <c r="BK158" s="87">
        <f t="shared" si="26"/>
        <v>0</v>
      </c>
      <c r="BL158" s="76"/>
      <c r="BM158" s="127"/>
      <c r="BN158" s="77"/>
      <c r="BO158" s="77"/>
      <c r="BP158" s="77">
        <f>BK158</f>
        <v>0</v>
      </c>
    </row>
    <row r="159" spans="1:69" ht="15.9" customHeight="1">
      <c r="A159" s="54">
        <v>50</v>
      </c>
      <c r="B159" s="22"/>
      <c r="C159" s="8" t="s">
        <v>101</v>
      </c>
      <c r="D159" s="23"/>
      <c r="E159" s="8" t="s">
        <v>40</v>
      </c>
      <c r="F159" s="188">
        <f>[1]AcreSummary!J48</f>
        <v>0.47768577096486331</v>
      </c>
      <c r="G159" s="25"/>
      <c r="H159" s="117"/>
      <c r="I159" s="57">
        <f>[1]Dry!E48</f>
        <v>9.7100000000000009</v>
      </c>
      <c r="J159" s="58">
        <f>[1]Dry!F48</f>
        <v>9.7200000000000006</v>
      </c>
      <c r="K159" s="80">
        <f>[1]Dry!G48</f>
        <v>9.35</v>
      </c>
      <c r="L159" s="68">
        <f>[1]Dry!H48</f>
        <v>9.8800000000000008</v>
      </c>
      <c r="M159" s="58">
        <f>[1]Dry!I48</f>
        <v>10.34</v>
      </c>
      <c r="N159" s="81">
        <f>[1]Dry!J48</f>
        <v>11.03</v>
      </c>
      <c r="O159" s="62">
        <v>11.04</v>
      </c>
      <c r="P159" s="81">
        <f>[1]Dry!K48</f>
        <v>11.68</v>
      </c>
      <c r="Q159" s="82">
        <f>[1]Dry!L48</f>
        <v>12.25</v>
      </c>
      <c r="R159" s="83">
        <f>Q159*0.95</f>
        <v>11.637499999999999</v>
      </c>
      <c r="S159" s="84">
        <f>[1]Dry!N48</f>
        <v>12.25</v>
      </c>
      <c r="T159" s="66">
        <f>[1]Dry!O48</f>
        <v>12.39</v>
      </c>
      <c r="U159" s="67">
        <f>[1]Dry!P48</f>
        <v>12.09</v>
      </c>
      <c r="V159" s="68">
        <f>[1]Dry!Q48</f>
        <v>9.24</v>
      </c>
      <c r="W159" s="68">
        <f>[1]Dry!R48</f>
        <v>10.92</v>
      </c>
      <c r="X159" s="68">
        <f>[1]Dry!S48</f>
        <v>13.02</v>
      </c>
      <c r="Y159" s="68">
        <f>[1]Dry!T48</f>
        <v>16.25</v>
      </c>
      <c r="Z159" s="68">
        <v>19.57</v>
      </c>
      <c r="AA159" s="68">
        <v>23.38</v>
      </c>
      <c r="AB159" s="68">
        <v>26.75</v>
      </c>
      <c r="AC159" s="68">
        <v>29.26</v>
      </c>
      <c r="AD159" s="68">
        <v>30.31</v>
      </c>
      <c r="AE159" s="68">
        <v>30.26</v>
      </c>
      <c r="AF159" s="68">
        <v>29.62</v>
      </c>
      <c r="AG159" s="69">
        <v>27.84</v>
      </c>
      <c r="AH159" s="70">
        <v>24.88</v>
      </c>
      <c r="AI159" s="70">
        <v>20.75</v>
      </c>
      <c r="AJ159" s="70">
        <v>17.690000000000001</v>
      </c>
      <c r="AK159" s="8">
        <f t="shared" si="31"/>
        <v>67</v>
      </c>
      <c r="AL159" s="8">
        <f t="shared" si="32"/>
        <v>64</v>
      </c>
      <c r="AM159" s="85">
        <f t="shared" si="33"/>
        <v>67</v>
      </c>
      <c r="AN159" s="23">
        <f t="shared" si="34"/>
        <v>72</v>
      </c>
      <c r="AO159" s="85">
        <f t="shared" si="29"/>
        <v>80</v>
      </c>
      <c r="AP159" s="72">
        <f t="shared" si="30"/>
        <v>86</v>
      </c>
      <c r="AQ159" s="71">
        <f t="shared" si="23"/>
        <v>90</v>
      </c>
      <c r="AR159" s="71">
        <f t="shared" si="23"/>
        <v>85</v>
      </c>
      <c r="AS159" s="71">
        <f t="shared" si="27"/>
        <v>90</v>
      </c>
      <c r="AT159" s="71">
        <f t="shared" si="28"/>
        <v>91</v>
      </c>
      <c r="AU159" s="71">
        <f t="shared" si="24"/>
        <v>89</v>
      </c>
      <c r="AV159" s="72">
        <f t="shared" si="25"/>
        <v>67</v>
      </c>
      <c r="AW159" s="72">
        <f>ROUND(W159/VLOOKUP($C159,CapRate,13),0)</f>
        <v>79</v>
      </c>
      <c r="AX159" s="72">
        <f>ROUND(X159/VLOOKUP($C159,CapRate,14),0)</f>
        <v>94</v>
      </c>
      <c r="AY159" s="72">
        <f>ROUND(Y159/VLOOKUP($C159,CapRate,15),0)</f>
        <v>118</v>
      </c>
      <c r="AZ159" s="72">
        <f>ROUND(Z159/VLOOKUP($C159,CapRate,16),0)</f>
        <v>142</v>
      </c>
      <c r="BA159" s="72">
        <f>ROUND(AA159/VLOOKUP($C159,CapRate,17),0)</f>
        <v>170</v>
      </c>
      <c r="BB159" s="72">
        <f>ROUND(AB159/VLOOKUP($C159,CapRate,18),0)</f>
        <v>194</v>
      </c>
      <c r="BC159" s="72">
        <f>ROUND(AC159/VLOOKUP($C159,CapRate,19),0)</f>
        <v>212</v>
      </c>
      <c r="BD159" s="72">
        <f>ROUND(AD159/VLOOKUP($C159,CapRate,20),0)</f>
        <v>220</v>
      </c>
      <c r="BE159" s="72">
        <f>ROUND(AE159/VLOOKUP($C159,CapRate,21),0)</f>
        <v>219</v>
      </c>
      <c r="BF159" s="72">
        <f>ROUND(AF159/VLOOKUP($C159,CapRate,22),0)</f>
        <v>215</v>
      </c>
      <c r="BG159" s="72">
        <f>ROUND(AG159/VLOOKUP($C159,CapRate,23),0)</f>
        <v>202</v>
      </c>
      <c r="BH159" s="72">
        <f>ROUND(AH159/VLOOKUP($C159,CapRate,24),0)</f>
        <v>180</v>
      </c>
      <c r="BI159" s="72">
        <f>ROUND(AI159/VLOOKUP($C159,CapRate,25),0)</f>
        <v>150</v>
      </c>
      <c r="BJ159" s="72">
        <f>ROUND(AJ159/VLOOKUP($C159,CapRate,26),0)</f>
        <v>128</v>
      </c>
      <c r="BK159" s="87">
        <f t="shared" si="26"/>
        <v>-0.14666666666666661</v>
      </c>
      <c r="BL159" s="76"/>
      <c r="BM159" s="77"/>
      <c r="BN159" s="77">
        <f>BK159</f>
        <v>-0.14666666666666661</v>
      </c>
      <c r="BO159" s="77"/>
      <c r="BP159" s="77"/>
    </row>
    <row r="160" spans="1:69" ht="15.9" customHeight="1" thickBot="1">
      <c r="A160" s="54">
        <v>50</v>
      </c>
      <c r="B160" s="22"/>
      <c r="C160" s="90" t="s">
        <v>101</v>
      </c>
      <c r="D160" s="91"/>
      <c r="E160" s="90" t="s">
        <v>41</v>
      </c>
      <c r="F160" s="190">
        <f>[1]AcreSummary!K48</f>
        <v>2.5454533489318244E-3</v>
      </c>
      <c r="G160" s="191">
        <f>[1]Irrigated!D55</f>
        <v>100</v>
      </c>
      <c r="H160" s="94">
        <f>[1]Irrigated!E55</f>
        <v>1</v>
      </c>
      <c r="I160" s="95"/>
      <c r="J160" s="96">
        <f>[1]Irrigated!H55</f>
        <v>45.03</v>
      </c>
      <c r="K160" s="97">
        <f>[1]Irrigated!I55</f>
        <v>45.25</v>
      </c>
      <c r="L160" s="98">
        <f>[1]Irrigated!J55</f>
        <v>46.18</v>
      </c>
      <c r="M160" s="96">
        <f>[1]Irrigated!K55</f>
        <v>47.85</v>
      </c>
      <c r="N160" s="99">
        <f>[1]Irrigated!L55</f>
        <v>49.92</v>
      </c>
      <c r="O160" s="100">
        <v>39.799999999999997</v>
      </c>
      <c r="P160" s="99">
        <f>[1]Irrigated!M55</f>
        <v>49.78</v>
      </c>
      <c r="Q160" s="101">
        <f>[1]Irrigated!N55</f>
        <v>49.23</v>
      </c>
      <c r="R160" s="102">
        <v>49.23</v>
      </c>
      <c r="S160" s="103">
        <f>[1]Irrigated!O55</f>
        <v>48.83</v>
      </c>
      <c r="T160" s="104">
        <f>[1]Irrigated!P55</f>
        <v>48.56</v>
      </c>
      <c r="U160" s="105">
        <f>[1]Irrigated!Q55</f>
        <v>47.22</v>
      </c>
      <c r="V160" s="98">
        <f>[1]Irrigated!R55</f>
        <v>37.49</v>
      </c>
      <c r="W160" s="98">
        <f>[1]Irrigated!S55</f>
        <v>39.840000000000003</v>
      </c>
      <c r="X160" s="98">
        <v>43.17</v>
      </c>
      <c r="Y160" s="98">
        <v>49.12</v>
      </c>
      <c r="Z160" s="98">
        <v>55.63</v>
      </c>
      <c r="AA160" s="98">
        <v>60.64</v>
      </c>
      <c r="AB160" s="98">
        <v>68.81</v>
      </c>
      <c r="AC160" s="98">
        <v>74.069999999999993</v>
      </c>
      <c r="AD160" s="98">
        <v>75.650000000000006</v>
      </c>
      <c r="AE160" s="98">
        <v>75.260000000000005</v>
      </c>
      <c r="AF160" s="98">
        <v>73.430000000000007</v>
      </c>
      <c r="AG160" s="106">
        <v>73.27</v>
      </c>
      <c r="AH160" s="107">
        <v>69.150000000000006</v>
      </c>
      <c r="AI160" s="107">
        <v>61.51</v>
      </c>
      <c r="AJ160" s="107">
        <v>54.72</v>
      </c>
      <c r="AK160" s="90">
        <f t="shared" si="31"/>
        <v>309</v>
      </c>
      <c r="AL160" s="90">
        <f t="shared" si="32"/>
        <v>311</v>
      </c>
      <c r="AM160" s="108">
        <f t="shared" si="33"/>
        <v>314</v>
      </c>
      <c r="AN160" s="91">
        <f t="shared" si="34"/>
        <v>332</v>
      </c>
      <c r="AO160" s="108">
        <f t="shared" si="29"/>
        <v>288</v>
      </c>
      <c r="AP160" s="109">
        <f t="shared" si="30"/>
        <v>365</v>
      </c>
      <c r="AQ160" s="110">
        <f t="shared" si="23"/>
        <v>360</v>
      </c>
      <c r="AR160" s="110">
        <f t="shared" si="23"/>
        <v>360</v>
      </c>
      <c r="AS160" s="110">
        <f t="shared" si="27"/>
        <v>358</v>
      </c>
      <c r="AT160" s="110">
        <f t="shared" si="28"/>
        <v>356</v>
      </c>
      <c r="AU160" s="110">
        <f t="shared" si="24"/>
        <v>346</v>
      </c>
      <c r="AV160" s="109">
        <f t="shared" si="25"/>
        <v>272</v>
      </c>
      <c r="AW160" s="109">
        <f>ROUND(W160/VLOOKUP($C160,CapRate,13),0)</f>
        <v>289</v>
      </c>
      <c r="AX160" s="109">
        <f>ROUND(X160/VLOOKUP($C160,CapRate,14),0)</f>
        <v>313</v>
      </c>
      <c r="AY160" s="109">
        <f>ROUND(Y160/VLOOKUP($C160,CapRate,15),0)</f>
        <v>356</v>
      </c>
      <c r="AZ160" s="109">
        <f>ROUND(Z160/VLOOKUP($C160,CapRate,16),0)</f>
        <v>404</v>
      </c>
      <c r="BA160" s="109">
        <f>ROUND(AA160/VLOOKUP($C160,CapRate,17),0)</f>
        <v>440</v>
      </c>
      <c r="BB160" s="109">
        <f>ROUND(AB160/VLOOKUP($C160,CapRate,18),0)</f>
        <v>499</v>
      </c>
      <c r="BC160" s="109">
        <f>ROUND(AC160/VLOOKUP($C160,CapRate,19),0)</f>
        <v>537</v>
      </c>
      <c r="BD160" s="109">
        <f>ROUND(AD160/VLOOKUP($C160,CapRate,20),0)</f>
        <v>549</v>
      </c>
      <c r="BE160" s="109">
        <f>ROUND(AE160/VLOOKUP($C160,CapRate,21),0)</f>
        <v>546</v>
      </c>
      <c r="BF160" s="109">
        <f>ROUND(AF160/VLOOKUP($C160,CapRate,22),0)</f>
        <v>532</v>
      </c>
      <c r="BG160" s="109">
        <f>ROUND(AG160/VLOOKUP($C160,CapRate,23),0)</f>
        <v>531</v>
      </c>
      <c r="BH160" s="109">
        <f>ROUND(AH160/VLOOKUP($C160,CapRate,24),0)</f>
        <v>501</v>
      </c>
      <c r="BI160" s="109">
        <f>ROUND(AI160/VLOOKUP($C160,CapRate,25),0)</f>
        <v>445</v>
      </c>
      <c r="BJ160" s="109">
        <f>ROUND(AJ160/VLOOKUP($C160,CapRate,26),0)</f>
        <v>395</v>
      </c>
      <c r="BK160" s="193">
        <f t="shared" si="26"/>
        <v>-0.11235955056179781</v>
      </c>
      <c r="BL160" s="114">
        <f>((F157*BK157)+(F158*BK158)+(F159*BK159)+(F160*BK160))</f>
        <v>-7.0346585735775263E-2</v>
      </c>
      <c r="BM160" s="120"/>
      <c r="BN160" s="115"/>
      <c r="BO160" s="115">
        <f>BK160</f>
        <v>-0.11235955056179781</v>
      </c>
      <c r="BP160" s="115"/>
    </row>
    <row r="161" spans="1:68" ht="15.9" customHeight="1" thickTop="1">
      <c r="A161" s="54">
        <v>50</v>
      </c>
      <c r="B161" s="22"/>
      <c r="C161" s="8" t="s">
        <v>102</v>
      </c>
      <c r="D161" s="23" t="s">
        <v>102</v>
      </c>
      <c r="E161" s="8" t="s">
        <v>39</v>
      </c>
      <c r="F161" s="188">
        <f>[1]AcreSummary!M49</f>
        <v>0.55153010982638839</v>
      </c>
      <c r="G161" s="25"/>
      <c r="H161" s="117"/>
      <c r="I161" s="57">
        <f>[1]Native!E47</f>
        <v>6.44</v>
      </c>
      <c r="J161" s="58">
        <f>[1]Native!F47</f>
        <v>6.2370000000000001</v>
      </c>
      <c r="K161" s="80">
        <f>[1]Native!G47</f>
        <v>6.5780000000000003</v>
      </c>
      <c r="L161" s="68">
        <f>[1]Native!H47</f>
        <v>6.8769999999999998</v>
      </c>
      <c r="M161" s="58">
        <f>[1]Native!I47</f>
        <v>7.2066999999999997</v>
      </c>
      <c r="N161" s="81">
        <f>[1]Native!J47</f>
        <v>7.5</v>
      </c>
      <c r="O161" s="62">
        <v>7.49</v>
      </c>
      <c r="P161" s="81">
        <f>[1]Native!K47</f>
        <v>7.52</v>
      </c>
      <c r="Q161" s="82">
        <f>[1]Native!L47</f>
        <v>7.49</v>
      </c>
      <c r="R161" s="83">
        <v>7.49</v>
      </c>
      <c r="S161" s="84">
        <f>[1]Native!M47</f>
        <v>7.56</v>
      </c>
      <c r="T161" s="66">
        <f>[1]Native!N47</f>
        <v>7.55</v>
      </c>
      <c r="U161" s="67">
        <f>[1]Native!O47</f>
        <v>7.37</v>
      </c>
      <c r="V161" s="67">
        <f>[1]Native!P47</f>
        <v>5.66</v>
      </c>
      <c r="W161" s="67">
        <v>5.53</v>
      </c>
      <c r="X161" s="68">
        <v>6.04</v>
      </c>
      <c r="Y161" s="68">
        <v>6.49</v>
      </c>
      <c r="Z161" s="68">
        <v>7.96</v>
      </c>
      <c r="AA161" s="68">
        <v>9.19</v>
      </c>
      <c r="AB161" s="68">
        <v>10.19</v>
      </c>
      <c r="AC161" s="68">
        <v>11.11</v>
      </c>
      <c r="AD161" s="68">
        <v>12.21</v>
      </c>
      <c r="AE161" s="68">
        <v>13.24</v>
      </c>
      <c r="AF161" s="68">
        <v>13.39</v>
      </c>
      <c r="AG161" s="69">
        <v>13.59</v>
      </c>
      <c r="AH161" s="70">
        <v>13.37</v>
      </c>
      <c r="AI161" s="70">
        <v>13.19</v>
      </c>
      <c r="AJ161" s="70">
        <v>13.25</v>
      </c>
      <c r="AK161" s="8">
        <f>ROUND(J161/VLOOKUP($C161,CapRate,2),0)</f>
        <v>41</v>
      </c>
      <c r="AL161" s="8">
        <f t="shared" si="32"/>
        <v>44</v>
      </c>
      <c r="AM161" s="85">
        <f t="shared" si="33"/>
        <v>45</v>
      </c>
      <c r="AN161" s="23">
        <f t="shared" si="34"/>
        <v>48</v>
      </c>
      <c r="AO161" s="85">
        <f t="shared" si="29"/>
        <v>52</v>
      </c>
      <c r="AP161" s="72">
        <f t="shared" si="30"/>
        <v>53</v>
      </c>
      <c r="AQ161" s="71">
        <f t="shared" si="23"/>
        <v>52</v>
      </c>
      <c r="AR161" s="71">
        <f t="shared" si="23"/>
        <v>52</v>
      </c>
      <c r="AS161" s="71">
        <f t="shared" si="27"/>
        <v>52</v>
      </c>
      <c r="AT161" s="71">
        <f t="shared" si="28"/>
        <v>51</v>
      </c>
      <c r="AU161" s="71">
        <f t="shared" si="24"/>
        <v>50</v>
      </c>
      <c r="AV161" s="72">
        <f t="shared" si="25"/>
        <v>38</v>
      </c>
      <c r="AW161" s="122">
        <f>IF(ROUND(W161/VLOOKUP($C161,CapRate,13),0)&gt;10,W161/VLOOKUP($C161,CapRate,13),10)</f>
        <v>37.188971082716883</v>
      </c>
      <c r="AX161" s="122">
        <f>IF(ROUND(X161/VLOOKUP($C161,CapRate,14),0)&gt;10,X161/VLOOKUP($C161,CapRate,14),10)</f>
        <v>40.700808625336926</v>
      </c>
      <c r="AY161" s="122">
        <f>IF(ROUND(Y161/VLOOKUP($C161,CapRate,15),0)&gt;10,Y161/VLOOKUP($C161,CapRate,15),10)</f>
        <v>44.029850746268657</v>
      </c>
      <c r="AZ161" s="122">
        <f>IF(ROUND(Z161/VLOOKUP($C161,CapRate,16),0)&gt;10,Z161/VLOOKUP($C161,CapRate,16),10)</f>
        <v>54.112848402447312</v>
      </c>
      <c r="BA161" s="122">
        <f>IF(ROUND(AA161/VLOOKUP($C161,CapRate,17),0)&gt;10,AA161/VLOOKUP($C161,CapRate,17),10)</f>
        <v>62.859097127222981</v>
      </c>
      <c r="BB161" s="122">
        <f>IF(ROUND(AB161/VLOOKUP($C161,CapRate,18),0)&gt;10,AB161/VLOOKUP($C161,CapRate,18),10)</f>
        <v>69.842357779300883</v>
      </c>
      <c r="BC161" s="122">
        <f>IF(ROUND(AC161/VLOOKUP($C161,CapRate,19),0)&gt;10,AC161/VLOOKUP($C161,CapRate,19),10)</f>
        <v>76.304945054945051</v>
      </c>
      <c r="BD161" s="122">
        <f>IF(ROUND(AD161/VLOOKUP($C161,CapRate,20),0)&gt;10,AD161/VLOOKUP($C161,CapRate,20),10)</f>
        <v>84.090909090909093</v>
      </c>
      <c r="BE161" s="122">
        <f>IF(ROUND(AE161/VLOOKUP($C161,CapRate,21),0)&gt;10,AE161/VLOOKUP($C161,CapRate,21),10)</f>
        <v>91.310344827586221</v>
      </c>
      <c r="BF161" s="122">
        <f>IF(ROUND(AF161/VLOOKUP($C161,CapRate,22),0)&gt;10,AF161/VLOOKUP($C161,CapRate,22),10)</f>
        <v>92.600276625172896</v>
      </c>
      <c r="BG161" s="122">
        <f>IF(ROUND(AG161/VLOOKUP($C161,CapRate,23),0)&gt;10,AG161/VLOOKUP($C161,CapRate,23),10)</f>
        <v>94.178794178794163</v>
      </c>
      <c r="BH161" s="122">
        <f>IF(ROUND(AH161/VLOOKUP($C161,CapRate,24),0)&gt;10,AH161/VLOOKUP($C161,CapRate,24),10)</f>
        <v>92.71844660194175</v>
      </c>
      <c r="BI161" s="122">
        <v>91</v>
      </c>
      <c r="BJ161" s="122">
        <v>92</v>
      </c>
      <c r="BK161" s="75">
        <f t="shared" si="26"/>
        <v>1.098901098901095E-2</v>
      </c>
      <c r="BL161" s="76"/>
      <c r="BM161" s="127">
        <f>BK161</f>
        <v>1.098901098901095E-2</v>
      </c>
      <c r="BN161" s="77"/>
      <c r="BO161" s="77"/>
      <c r="BP161" s="77"/>
    </row>
    <row r="162" spans="1:68" ht="15.9" customHeight="1">
      <c r="A162" s="54"/>
      <c r="B162" s="22"/>
      <c r="C162" s="8" t="s">
        <v>102</v>
      </c>
      <c r="D162" s="23"/>
      <c r="E162" s="8" t="s">
        <v>85</v>
      </c>
      <c r="F162" s="188">
        <f>[1]AcreSummary!L49</f>
        <v>1.9183505813275916E-3</v>
      </c>
      <c r="G162" s="25"/>
      <c r="H162" s="117"/>
      <c r="I162" s="57"/>
      <c r="J162" s="58">
        <f>[1]Tame!D16</f>
        <v>10.56</v>
      </c>
      <c r="K162" s="80">
        <f>[1]Tame!E16</f>
        <v>10.185</v>
      </c>
      <c r="L162" s="68">
        <f>[1]Tame!F16</f>
        <v>10</v>
      </c>
      <c r="M162" s="58">
        <f>[1]Tame!G16</f>
        <v>9.8699999999999992</v>
      </c>
      <c r="N162" s="81">
        <f>[1]Tame!H16</f>
        <v>9.6300000000000008</v>
      </c>
      <c r="O162" s="62">
        <v>9.6999999999999993</v>
      </c>
      <c r="P162" s="81">
        <f>[1]Tame!I16</f>
        <v>8.94</v>
      </c>
      <c r="Q162" s="82">
        <f>[1]Tame!J16</f>
        <v>8.36</v>
      </c>
      <c r="R162" s="83">
        <v>8.36</v>
      </c>
      <c r="S162" s="84">
        <f>[1]Tame!K16</f>
        <v>7.44</v>
      </c>
      <c r="T162" s="66">
        <f>[1]Tame!L16</f>
        <v>6.01</v>
      </c>
      <c r="U162" s="67">
        <f>[1]Tame!M16</f>
        <v>5.74</v>
      </c>
      <c r="V162" s="68">
        <f>[1]Tame!N16</f>
        <v>0.59</v>
      </c>
      <c r="W162" s="68">
        <f>[1]Tame!O16</f>
        <v>-0.21</v>
      </c>
      <c r="X162" s="68">
        <v>0.28999999999999998</v>
      </c>
      <c r="Y162" s="68">
        <v>0.78</v>
      </c>
      <c r="Z162" s="68">
        <v>2.4300000000000002</v>
      </c>
      <c r="AA162" s="68">
        <v>3.57</v>
      </c>
      <c r="AB162" s="68">
        <v>5.22</v>
      </c>
      <c r="AC162" s="68">
        <v>6.95</v>
      </c>
      <c r="AD162" s="68">
        <v>9.74</v>
      </c>
      <c r="AE162" s="68">
        <v>12.79</v>
      </c>
      <c r="AF162" s="68">
        <v>14.58</v>
      </c>
      <c r="AG162" s="69">
        <v>16.21</v>
      </c>
      <c r="AH162" s="70">
        <v>17.440000000000001</v>
      </c>
      <c r="AI162" s="70">
        <v>18.43</v>
      </c>
      <c r="AJ162" s="70">
        <v>19.59</v>
      </c>
      <c r="AK162" s="8">
        <f>ROUND(J162/VLOOKUP($C162,CapRate,2),0)</f>
        <v>70</v>
      </c>
      <c r="AL162" s="8">
        <f>ROUND(K162/VLOOKUP($C162,CapRate,3),0)</f>
        <v>68</v>
      </c>
      <c r="AM162" s="85">
        <f>ROUND(L162/VLOOKUP($C162,CapRate,4),0)</f>
        <v>66</v>
      </c>
      <c r="AN162" s="23">
        <f>ROUND(M162/VLOOKUP($C162,CapRate,5),0)</f>
        <v>66</v>
      </c>
      <c r="AO162" s="85">
        <f t="shared" si="29"/>
        <v>68</v>
      </c>
      <c r="AP162" s="72">
        <f t="shared" si="30"/>
        <v>63</v>
      </c>
      <c r="AQ162" s="71">
        <f t="shared" si="23"/>
        <v>58</v>
      </c>
      <c r="AR162" s="71">
        <f t="shared" si="23"/>
        <v>58</v>
      </c>
      <c r="AS162" s="71">
        <f t="shared" si="27"/>
        <v>51</v>
      </c>
      <c r="AT162" s="71">
        <f t="shared" si="28"/>
        <v>41</v>
      </c>
      <c r="AU162" s="71">
        <f t="shared" si="24"/>
        <v>39</v>
      </c>
      <c r="AV162" s="72">
        <f>IF(ROUND(V162/VLOOKUP($C162,CapRate,12),0)&gt;AV161,V162/VLOOKUP($C162,CapRate,12),AV161)</f>
        <v>38</v>
      </c>
      <c r="AW162" s="72">
        <f>IF(ROUND(W162/VLOOKUP($C162,CapRate,13),0)&gt;AW161,W162/VLOOKUP($C162,CapRate,13),AW161)</f>
        <v>37.188971082716883</v>
      </c>
      <c r="AX162" s="72">
        <f>IF(ROUND(X162/VLOOKUP($C162,CapRate,14),0)&gt;AX161,X162/VLOOKUP($C162,CapRate,14),AX161)</f>
        <v>40.700808625336926</v>
      </c>
      <c r="AY162" s="72">
        <f>IF(ROUND(Y162/VLOOKUP($C162,CapRate,15),0)&gt;AY161,Y162/VLOOKUP($C162,CapRate,15),AY161)</f>
        <v>44.029850746268657</v>
      </c>
      <c r="AZ162" s="72">
        <f>IF(ROUND(Z162/VLOOKUP($C162,CapRate,16),0)&gt;AZ161,Z162/VLOOKUP($C162,CapRate,16),AZ161)</f>
        <v>54.112848402447312</v>
      </c>
      <c r="BA162" s="72">
        <f>IF(ROUND(AA162/VLOOKUP($C162,CapRate,17),0)&gt;BA161,AA162/VLOOKUP($C162,CapRate,17),BA161)</f>
        <v>62.859097127222981</v>
      </c>
      <c r="BB162" s="72">
        <f>IF(ROUND(AB162/VLOOKUP($C162,CapRate,18),0)&gt;BB161,AB162/VLOOKUP($C162,CapRate,18),BB161)</f>
        <v>69.842357779300883</v>
      </c>
      <c r="BC162" s="72">
        <f>IF(ROUND(AC162/VLOOKUP($C162,CapRate,19),0)&gt;BC161,AC162/VLOOKUP($C162,CapRate,19),BC161)</f>
        <v>76.304945054945051</v>
      </c>
      <c r="BD162" s="72">
        <f>IF(ROUND(AD162/VLOOKUP($C162,CapRate,20),0)&gt;BD161,AD162/VLOOKUP($C162,CapRate,20),BD161)</f>
        <v>84.090909090909093</v>
      </c>
      <c r="BE162" s="72">
        <f>IF(ROUND(AE162/VLOOKUP($C162,CapRate,21),0)&gt;BE161,AE162/VLOOKUP($C162,CapRate,21),BE161)</f>
        <v>91.310344827586221</v>
      </c>
      <c r="BF162" s="72">
        <f>IF(ROUND(AF162/VLOOKUP($C162,CapRate,22),0)&gt;BF161,AF162/VLOOKUP($C162,CapRate,22),BF161)</f>
        <v>100.8298755186722</v>
      </c>
      <c r="BG162" s="72">
        <f>IF(ROUND(AG162/VLOOKUP($C162,CapRate,23),0)&gt;BG161,AG162/VLOOKUP($C162,CapRate,23),BG161)</f>
        <v>112.33541233541233</v>
      </c>
      <c r="BH162" s="72">
        <f>IF(ROUND(AH162/VLOOKUP($C162,CapRate,24),0)&gt;BH161,AH162/VLOOKUP($C162,CapRate,24),BH161)</f>
        <v>120.94313453536756</v>
      </c>
      <c r="BI162" s="72">
        <f>IF(ROUND(AI162/VLOOKUP($C162,CapRate,25),0)&gt;BI161,AI162/VLOOKUP($C162,CapRate,25),BI161)</f>
        <v>127.7200277200277</v>
      </c>
      <c r="BJ162" s="72">
        <f>IF(ROUND(AJ162/VLOOKUP($C162,CapRate,26),0)&gt;BJ161,AJ162/VLOOKUP($C162,CapRate,26),BJ161)</f>
        <v>135.75883575883574</v>
      </c>
      <c r="BK162" s="87">
        <f t="shared" si="26"/>
        <v>6.2940857297884012E-2</v>
      </c>
      <c r="BL162" s="76"/>
      <c r="BM162" s="77"/>
      <c r="BN162" s="77"/>
      <c r="BO162" s="77"/>
      <c r="BP162" s="77">
        <f>BK162</f>
        <v>6.2940857297884012E-2</v>
      </c>
    </row>
    <row r="163" spans="1:68" ht="15.9" customHeight="1">
      <c r="A163" s="54">
        <v>50</v>
      </c>
      <c r="B163" s="22"/>
      <c r="C163" s="8" t="s">
        <v>102</v>
      </c>
      <c r="D163" s="23"/>
      <c r="E163" s="8" t="s">
        <v>40</v>
      </c>
      <c r="F163" s="188">
        <f>[1]AcreSummary!J49</f>
        <v>0.44386950999529851</v>
      </c>
      <c r="G163" s="25"/>
      <c r="H163" s="117"/>
      <c r="I163" s="57">
        <f>[1]Dry!E49</f>
        <v>15.15</v>
      </c>
      <c r="J163" s="58">
        <f>[1]Dry!F49</f>
        <v>14.96</v>
      </c>
      <c r="K163" s="80">
        <f>[1]Dry!G49</f>
        <v>14.08</v>
      </c>
      <c r="L163" s="68">
        <f>[1]Dry!H49</f>
        <v>13.96</v>
      </c>
      <c r="M163" s="58">
        <f>[1]Dry!I49</f>
        <v>14.34</v>
      </c>
      <c r="N163" s="81">
        <f>[1]Dry!J49</f>
        <v>15.11</v>
      </c>
      <c r="O163" s="62">
        <v>15.13</v>
      </c>
      <c r="P163" s="81">
        <f>[1]Dry!K49</f>
        <v>16.850000000000001</v>
      </c>
      <c r="Q163" s="82">
        <f>[1]Dry!L49</f>
        <v>18.73</v>
      </c>
      <c r="R163" s="83">
        <f>Q163*0.95</f>
        <v>17.793499999999998</v>
      </c>
      <c r="S163" s="84">
        <f>[1]Dry!N49</f>
        <v>20.100000000000001</v>
      </c>
      <c r="T163" s="66">
        <f>[1]Dry!O49</f>
        <v>21.63</v>
      </c>
      <c r="U163" s="67">
        <f>[1]Dry!P49</f>
        <v>22.34</v>
      </c>
      <c r="V163" s="68">
        <f>[1]Dry!Q49</f>
        <v>21.34</v>
      </c>
      <c r="W163" s="68">
        <f>[1]Dry!R49</f>
        <v>23.31</v>
      </c>
      <c r="X163" s="68">
        <f>[1]Dry!S49</f>
        <v>25.2</v>
      </c>
      <c r="Y163" s="68">
        <f>[1]Dry!T49</f>
        <v>28.25</v>
      </c>
      <c r="Z163" s="68">
        <v>31.86</v>
      </c>
      <c r="AA163" s="68">
        <v>35.67</v>
      </c>
      <c r="AB163" s="68">
        <v>39.47</v>
      </c>
      <c r="AC163" s="68">
        <v>42.43</v>
      </c>
      <c r="AD163" s="68">
        <v>43.51</v>
      </c>
      <c r="AE163" s="68">
        <v>43.45</v>
      </c>
      <c r="AF163" s="68">
        <v>43.34</v>
      </c>
      <c r="AG163" s="69">
        <v>42.62</v>
      </c>
      <c r="AH163" s="70">
        <v>39.68</v>
      </c>
      <c r="AI163" s="70">
        <v>34.4</v>
      </c>
      <c r="AJ163" s="70">
        <v>30.99</v>
      </c>
      <c r="AK163" s="8">
        <f t="shared" si="31"/>
        <v>100</v>
      </c>
      <c r="AL163" s="8">
        <f t="shared" si="32"/>
        <v>94</v>
      </c>
      <c r="AM163" s="85">
        <f t="shared" si="33"/>
        <v>92</v>
      </c>
      <c r="AN163" s="23">
        <f t="shared" si="34"/>
        <v>96</v>
      </c>
      <c r="AO163" s="85">
        <f t="shared" si="29"/>
        <v>105</v>
      </c>
      <c r="AP163" s="72">
        <f t="shared" si="30"/>
        <v>118</v>
      </c>
      <c r="AQ163" s="71">
        <f t="shared" si="23"/>
        <v>129</v>
      </c>
      <c r="AR163" s="71">
        <f t="shared" si="23"/>
        <v>123</v>
      </c>
      <c r="AS163" s="71">
        <f t="shared" si="27"/>
        <v>138</v>
      </c>
      <c r="AT163" s="71">
        <f t="shared" si="28"/>
        <v>147</v>
      </c>
      <c r="AU163" s="71">
        <f t="shared" si="24"/>
        <v>151</v>
      </c>
      <c r="AV163" s="72">
        <f t="shared" si="25"/>
        <v>143</v>
      </c>
      <c r="AW163" s="72">
        <f>ROUND(W163/VLOOKUP($C163,CapRate,13),0)</f>
        <v>157</v>
      </c>
      <c r="AX163" s="72">
        <f>ROUND(X163/VLOOKUP($C163,CapRate,14),0)</f>
        <v>170</v>
      </c>
      <c r="AY163" s="72">
        <f>ROUND(Y163/VLOOKUP($C163,CapRate,15),0)</f>
        <v>192</v>
      </c>
      <c r="AZ163" s="72">
        <f>ROUND(Z163/VLOOKUP($C163,CapRate,16),0)</f>
        <v>217</v>
      </c>
      <c r="BA163" s="72">
        <f>ROUND(AA163/VLOOKUP($C163,CapRate,17),0)</f>
        <v>244</v>
      </c>
      <c r="BB163" s="72">
        <f>ROUND(AB163/VLOOKUP($C163,CapRate,18),0)</f>
        <v>271</v>
      </c>
      <c r="BC163" s="72">
        <f>ROUND(AC163/VLOOKUP($C163,CapRate,19),0)</f>
        <v>291</v>
      </c>
      <c r="BD163" s="72">
        <f>ROUND(AD163/VLOOKUP($C163,CapRate,20),0)</f>
        <v>300</v>
      </c>
      <c r="BE163" s="72">
        <f>ROUND(AE163/VLOOKUP($C163,CapRate,21),0)</f>
        <v>300</v>
      </c>
      <c r="BF163" s="72">
        <f>ROUND(AF163/VLOOKUP($C163,CapRate,22),0)</f>
        <v>300</v>
      </c>
      <c r="BG163" s="72">
        <f>ROUND(AG163/VLOOKUP($C163,CapRate,23),0)</f>
        <v>295</v>
      </c>
      <c r="BH163" s="72">
        <f>ROUND(AH163/VLOOKUP($C163,CapRate,24),0)</f>
        <v>275</v>
      </c>
      <c r="BI163" s="72">
        <f>ROUND(AI163/VLOOKUP($C163,CapRate,25),0)</f>
        <v>238</v>
      </c>
      <c r="BJ163" s="72">
        <f>ROUND(AJ163/VLOOKUP($C163,CapRate,26),0)</f>
        <v>215</v>
      </c>
      <c r="BK163" s="87">
        <f t="shared" si="26"/>
        <v>-9.6638655462184864E-2</v>
      </c>
      <c r="BL163" s="76"/>
      <c r="BM163" s="77"/>
      <c r="BN163" s="77">
        <f>BK163</f>
        <v>-9.6638655462184864E-2</v>
      </c>
      <c r="BO163" s="77"/>
      <c r="BP163" s="77"/>
    </row>
    <row r="164" spans="1:68" ht="15.9" customHeight="1" thickBot="1">
      <c r="A164" s="54">
        <v>50</v>
      </c>
      <c r="B164" s="22"/>
      <c r="C164" s="90" t="s">
        <v>102</v>
      </c>
      <c r="D164" s="91"/>
      <c r="E164" s="90" t="s">
        <v>41</v>
      </c>
      <c r="F164" s="190">
        <f>[1]AcreSummary!K49</f>
        <v>2.6820295969854349E-3</v>
      </c>
      <c r="G164" s="191">
        <f>[1]Irrigated!D56</f>
        <v>100</v>
      </c>
      <c r="H164" s="94">
        <f>[1]Irrigated!E56</f>
        <v>0.7944</v>
      </c>
      <c r="I164" s="95"/>
      <c r="J164" s="96">
        <f>[1]Irrigated!H56</f>
        <v>47.83</v>
      </c>
      <c r="K164" s="97">
        <f>[1]Irrigated!I56</f>
        <v>48.23</v>
      </c>
      <c r="L164" s="98">
        <f>[1]Irrigated!J56</f>
        <v>49.38</v>
      </c>
      <c r="M164" s="96">
        <f>[1]Irrigated!K56</f>
        <v>51.29</v>
      </c>
      <c r="N164" s="99">
        <f>[1]Irrigated!L56</f>
        <v>53.63</v>
      </c>
      <c r="O164" s="100">
        <v>50.93</v>
      </c>
      <c r="P164" s="99">
        <f>[1]Irrigated!M56</f>
        <v>53.73</v>
      </c>
      <c r="Q164" s="101">
        <f>[1]Irrigated!N56</f>
        <v>53.15</v>
      </c>
      <c r="R164" s="102">
        <v>53.15</v>
      </c>
      <c r="S164" s="103">
        <f>[1]Irrigated!O56</f>
        <v>52.72</v>
      </c>
      <c r="T164" s="104">
        <f>[1]Irrigated!P56</f>
        <v>52.51</v>
      </c>
      <c r="U164" s="105">
        <f>[1]Irrigated!Q56</f>
        <v>51.08</v>
      </c>
      <c r="V164" s="98">
        <f>[1]Irrigated!R56</f>
        <v>40.450000000000003</v>
      </c>
      <c r="W164" s="98">
        <f>[1]Irrigated!S56</f>
        <v>42.9</v>
      </c>
      <c r="X164" s="98">
        <v>46.3</v>
      </c>
      <c r="Y164" s="98">
        <v>52.37</v>
      </c>
      <c r="Z164" s="98">
        <v>59.34</v>
      </c>
      <c r="AA164" s="98">
        <v>64.11</v>
      </c>
      <c r="AB164" s="98">
        <v>72.58</v>
      </c>
      <c r="AC164" s="98">
        <v>78.5</v>
      </c>
      <c r="AD164" s="98">
        <v>80.08</v>
      </c>
      <c r="AE164" s="98">
        <v>79.849999999999994</v>
      </c>
      <c r="AF164" s="98">
        <v>78.23</v>
      </c>
      <c r="AG164" s="106">
        <v>78.17</v>
      </c>
      <c r="AH164" s="107">
        <v>74.06</v>
      </c>
      <c r="AI164" s="107">
        <v>66.540000000000006</v>
      </c>
      <c r="AJ164" s="107">
        <v>59.91</v>
      </c>
      <c r="AK164" s="90">
        <f t="shared" si="31"/>
        <v>318</v>
      </c>
      <c r="AL164" s="90">
        <f t="shared" si="32"/>
        <v>321</v>
      </c>
      <c r="AM164" s="108">
        <f t="shared" si="33"/>
        <v>325</v>
      </c>
      <c r="AN164" s="91">
        <f t="shared" si="34"/>
        <v>344</v>
      </c>
      <c r="AO164" s="108">
        <f t="shared" si="29"/>
        <v>355</v>
      </c>
      <c r="AP164" s="109">
        <f t="shared" si="30"/>
        <v>376</v>
      </c>
      <c r="AQ164" s="110">
        <f t="shared" ref="AQ164:AR227" si="35">ROUND(Q164/VLOOKUP($C164,CapRate,8),0)</f>
        <v>367</v>
      </c>
      <c r="AR164" s="110">
        <f t="shared" si="35"/>
        <v>367</v>
      </c>
      <c r="AS164" s="110">
        <f t="shared" si="27"/>
        <v>361</v>
      </c>
      <c r="AT164" s="110">
        <f t="shared" si="28"/>
        <v>357</v>
      </c>
      <c r="AU164" s="110">
        <f t="shared" ref="AU164:AU227" si="36">ROUND(U164/VLOOKUP($C164,CapRate,11),0)</f>
        <v>344</v>
      </c>
      <c r="AV164" s="109">
        <f t="shared" ref="AV164:AV227" si="37">ROUND(V164/VLOOKUP($C164,CapRate,12),0)</f>
        <v>271</v>
      </c>
      <c r="AW164" s="109">
        <f>ROUND(W164/VLOOKUP($C164,CapRate,13),0)</f>
        <v>289</v>
      </c>
      <c r="AX164" s="109">
        <f>ROUND(X164/VLOOKUP($C164,CapRate,14),0)</f>
        <v>312</v>
      </c>
      <c r="AY164" s="109">
        <f>ROUND(Y164/VLOOKUP($C164,CapRate,15),0)</f>
        <v>355</v>
      </c>
      <c r="AZ164" s="109">
        <f>ROUND(Z164/VLOOKUP($C164,CapRate,16),0)</f>
        <v>403</v>
      </c>
      <c r="BA164" s="109">
        <f>ROUND(AA164/VLOOKUP($C164,CapRate,17),0)</f>
        <v>439</v>
      </c>
      <c r="BB164" s="109">
        <f>ROUND(AB164/VLOOKUP($C164,CapRate,18),0)</f>
        <v>497</v>
      </c>
      <c r="BC164" s="109">
        <f>ROUND(AC164/VLOOKUP($C164,CapRate,19),0)</f>
        <v>539</v>
      </c>
      <c r="BD164" s="109">
        <f>ROUND(AD164/VLOOKUP($C164,CapRate,20),0)</f>
        <v>552</v>
      </c>
      <c r="BE164" s="109">
        <f>ROUND(AE164/VLOOKUP($C164,CapRate,21),0)</f>
        <v>551</v>
      </c>
      <c r="BF164" s="109">
        <f>ROUND(AF164/VLOOKUP($C164,CapRate,22),0)</f>
        <v>541</v>
      </c>
      <c r="BG164" s="109">
        <f>ROUND(AG164/VLOOKUP($C164,CapRate,23),0)</f>
        <v>542</v>
      </c>
      <c r="BH164" s="109">
        <f>ROUND(AH164/VLOOKUP($C164,CapRate,24),0)</f>
        <v>514</v>
      </c>
      <c r="BI164" s="109">
        <f>ROUND(AI164/VLOOKUP($C164,CapRate,25),0)</f>
        <v>461</v>
      </c>
      <c r="BJ164" s="109">
        <f>ROUND(AJ164/VLOOKUP($C164,CapRate,26),0)</f>
        <v>415</v>
      </c>
      <c r="BK164" s="193">
        <f t="shared" ref="BK164:BK227" si="38">SUM(BJ164/BI164)-1</f>
        <v>-9.9783080260303691E-2</v>
      </c>
      <c r="BL164" s="114">
        <f>((F161*BK161)+(F162*BK162)+(F163*BK163)+(F164*BK164))</f>
        <v>-3.6981060753301723E-2</v>
      </c>
      <c r="BM164" s="120"/>
      <c r="BN164" s="115"/>
      <c r="BO164" s="115">
        <f>BK164</f>
        <v>-9.9783080260303691E-2</v>
      </c>
      <c r="BP164" s="115"/>
    </row>
    <row r="165" spans="1:68" ht="15.9" customHeight="1" thickTop="1">
      <c r="A165" s="54">
        <v>50</v>
      </c>
      <c r="B165" s="22"/>
      <c r="C165" s="8" t="s">
        <v>103</v>
      </c>
      <c r="D165" s="23" t="s">
        <v>103</v>
      </c>
      <c r="E165" s="8" t="s">
        <v>39</v>
      </c>
      <c r="F165" s="188">
        <f>[1]AcreSummary!M50</f>
        <v>0.47752372051938541</v>
      </c>
      <c r="G165" s="25"/>
      <c r="H165" s="117"/>
      <c r="I165" s="57">
        <f>[1]Native!E48</f>
        <v>6.08</v>
      </c>
      <c r="J165" s="58">
        <f>[1]Native!F48</f>
        <v>6.0330000000000004</v>
      </c>
      <c r="K165" s="80">
        <f>[1]Native!G48</f>
        <v>6.3890000000000002</v>
      </c>
      <c r="L165" s="68">
        <f>[1]Native!H48</f>
        <v>6.7022000000000004</v>
      </c>
      <c r="M165" s="58">
        <f>[1]Native!I48</f>
        <v>7.0452000000000004</v>
      </c>
      <c r="N165" s="81">
        <f>[1]Native!J48</f>
        <v>7.35</v>
      </c>
      <c r="O165" s="62">
        <v>7.17</v>
      </c>
      <c r="P165" s="81">
        <f>[1]Native!K48</f>
        <v>7.39</v>
      </c>
      <c r="Q165" s="82">
        <f>[1]Native!L48</f>
        <v>7.39</v>
      </c>
      <c r="R165" s="83">
        <v>7.39</v>
      </c>
      <c r="S165" s="84">
        <f>[1]Native!M48</f>
        <v>7.47</v>
      </c>
      <c r="T165" s="66">
        <f>[1]Native!N48</f>
        <v>7.48</v>
      </c>
      <c r="U165" s="67">
        <f>[1]Native!O48</f>
        <v>7.3</v>
      </c>
      <c r="V165" s="67">
        <f>[1]Native!P48</f>
        <v>4.08</v>
      </c>
      <c r="W165" s="67">
        <f>[1]Native!Q48</f>
        <v>3.29</v>
      </c>
      <c r="X165" s="68">
        <v>3.24</v>
      </c>
      <c r="Y165" s="68">
        <v>3.13</v>
      </c>
      <c r="Z165" s="68">
        <v>3.94</v>
      </c>
      <c r="AA165" s="68">
        <v>4.53</v>
      </c>
      <c r="AB165" s="68">
        <v>5.35</v>
      </c>
      <c r="AC165" s="68">
        <v>6.12</v>
      </c>
      <c r="AD165" s="68">
        <v>7.07</v>
      </c>
      <c r="AE165" s="68">
        <v>7.96</v>
      </c>
      <c r="AF165" s="68">
        <v>8.01</v>
      </c>
      <c r="AG165" s="69">
        <v>8.1199999999999992</v>
      </c>
      <c r="AH165" s="70">
        <v>7.89</v>
      </c>
      <c r="AI165" s="70">
        <v>7.63</v>
      </c>
      <c r="AJ165" s="70">
        <v>7.61</v>
      </c>
      <c r="AK165" s="8">
        <f t="shared" si="31"/>
        <v>38</v>
      </c>
      <c r="AL165" s="8">
        <f t="shared" si="32"/>
        <v>40</v>
      </c>
      <c r="AM165" s="85">
        <f t="shared" si="33"/>
        <v>42</v>
      </c>
      <c r="AN165" s="23">
        <f t="shared" si="34"/>
        <v>45</v>
      </c>
      <c r="AO165" s="85">
        <f t="shared" si="29"/>
        <v>47</v>
      </c>
      <c r="AP165" s="72">
        <f t="shared" si="30"/>
        <v>49</v>
      </c>
      <c r="AQ165" s="71">
        <f t="shared" si="35"/>
        <v>49</v>
      </c>
      <c r="AR165" s="71">
        <f t="shared" si="35"/>
        <v>49</v>
      </c>
      <c r="AS165" s="71">
        <f t="shared" ref="AS165:AS228" si="39">ROUND(S165/VLOOKUP($C165,CapRate,9),0)</f>
        <v>49</v>
      </c>
      <c r="AT165" s="71">
        <f t="shared" ref="AT165:AT228" si="40">ROUND(T165/VLOOKUP($C165,CapRate,10),0)</f>
        <v>49</v>
      </c>
      <c r="AU165" s="71">
        <f t="shared" si="36"/>
        <v>48</v>
      </c>
      <c r="AV165" s="72">
        <f t="shared" si="37"/>
        <v>26</v>
      </c>
      <c r="AW165" s="122">
        <f>IF(ROUND(W165/VLOOKUP($C165,CapRate,13),0)&gt;10,W165/VLOOKUP($C165,CapRate,13),10)</f>
        <v>21.089743589743591</v>
      </c>
      <c r="AX165" s="122">
        <f>IF(ROUND(X165/VLOOKUP($C165,CapRate,14),0)&gt;10,X165/VLOOKUP($C165,CapRate,14),10)</f>
        <v>20.676451818761965</v>
      </c>
      <c r="AY165" s="122">
        <f>IF(ROUND(Y165/VLOOKUP($C165,CapRate,15),0)&gt;10,Y165/VLOOKUP($C165,CapRate,15),10)</f>
        <v>19.835234474017742</v>
      </c>
      <c r="AZ165" s="122">
        <f>IF(ROUND(Z165/VLOOKUP($C165,CapRate,16),0)&gt;10,Z165/VLOOKUP($C165,CapRate,16),10)</f>
        <v>24.84237074401009</v>
      </c>
      <c r="BA165" s="122">
        <f>IF(ROUND(AA165/VLOOKUP($C165,CapRate,17),0)&gt;10,AA165/VLOOKUP($C165,CapRate,17),10)</f>
        <v>28.22429906542056</v>
      </c>
      <c r="BB165" s="122">
        <f>IF(ROUND(AB165/VLOOKUP($C165,CapRate,18),0)&gt;10,AB165/VLOOKUP($C165,CapRate,18),10)</f>
        <v>33.126934984520119</v>
      </c>
      <c r="BC165" s="122">
        <f>IF(ROUND(AC165/VLOOKUP($C165,CapRate,19),0)&gt;10,AC165/VLOOKUP($C165,CapRate,19),10)</f>
        <v>37.824474660074166</v>
      </c>
      <c r="BD165" s="122">
        <f>IF(ROUND(AD165/VLOOKUP($C165,CapRate,20),0)&gt;10,AD165/VLOOKUP($C165,CapRate,20),10)</f>
        <v>43.722943722943725</v>
      </c>
      <c r="BE165" s="122">
        <f>IF(ROUND(AE165/VLOOKUP($C165,CapRate,21),0)&gt;10,AE165/VLOOKUP($C165,CapRate,21),10)</f>
        <v>49.34903905765654</v>
      </c>
      <c r="BF165" s="122">
        <f>IF(ROUND(AF165/VLOOKUP($C165,CapRate,22),0)&gt;10,AF165/VLOOKUP($C165,CapRate,22),10)</f>
        <v>49.906542056074763</v>
      </c>
      <c r="BG165" s="122">
        <f>IF(ROUND(AG165/VLOOKUP($C165,CapRate,23),0)&gt;10,AG165/VLOOKUP($C165,CapRate,23),10)</f>
        <v>50.877192982456137</v>
      </c>
      <c r="BH165" s="122">
        <f>IF(ROUND(AH165/VLOOKUP($C165,CapRate,24),0)&gt;10,AH165/VLOOKUP($C165,CapRate,24),10)</f>
        <v>49.936708860759488</v>
      </c>
      <c r="BI165" s="122">
        <v>49</v>
      </c>
      <c r="BJ165" s="122">
        <v>49</v>
      </c>
      <c r="BK165" s="75">
        <f t="shared" si="38"/>
        <v>0</v>
      </c>
      <c r="BL165" s="76"/>
      <c r="BM165" s="77">
        <f>BK165</f>
        <v>0</v>
      </c>
      <c r="BN165" s="77"/>
      <c r="BO165" s="77"/>
      <c r="BP165" s="77"/>
    </row>
    <row r="166" spans="1:68" ht="15.9" customHeight="1">
      <c r="A166" s="54"/>
      <c r="B166" s="22"/>
      <c r="C166" s="8" t="s">
        <v>103</v>
      </c>
      <c r="D166" s="23"/>
      <c r="E166" s="8" t="s">
        <v>85</v>
      </c>
      <c r="F166" s="188">
        <f>[1]AcreSummary!L50</f>
        <v>2.2746572411219534E-2</v>
      </c>
      <c r="G166" s="25"/>
      <c r="H166" s="117"/>
      <c r="I166" s="57"/>
      <c r="J166" s="58">
        <f>[1]Tame!D17</f>
        <v>9.44</v>
      </c>
      <c r="K166" s="80">
        <f>[1]Tame!E17</f>
        <v>8.8000000000000007</v>
      </c>
      <c r="L166" s="68">
        <f>[1]Tame!F17</f>
        <v>8.3190000000000008</v>
      </c>
      <c r="M166" s="58">
        <f>[1]Tame!G17</f>
        <v>7.87</v>
      </c>
      <c r="N166" s="81">
        <f>[1]Tame!H17</f>
        <v>7.37</v>
      </c>
      <c r="O166" s="62">
        <v>8</v>
      </c>
      <c r="P166" s="81">
        <f>[1]Tame!I17</f>
        <v>6.48</v>
      </c>
      <c r="Q166" s="82">
        <f>[1]Tame!J17</f>
        <v>5.92</v>
      </c>
      <c r="R166" s="83">
        <v>5.92</v>
      </c>
      <c r="S166" s="84">
        <f>[1]Tame!K17</f>
        <v>4.88</v>
      </c>
      <c r="T166" s="66">
        <f>[1]Tame!L17</f>
        <v>3.13</v>
      </c>
      <c r="U166" s="67">
        <f>[1]Tame!M17</f>
        <v>2.93</v>
      </c>
      <c r="V166" s="68">
        <f>[1]Tame!N17</f>
        <v>-3.11</v>
      </c>
      <c r="W166" s="68">
        <f>[1]Tame!O17</f>
        <v>-4.6100000000000003</v>
      </c>
      <c r="X166" s="68">
        <v>-4.7300000000000004</v>
      </c>
      <c r="Y166" s="68">
        <v>-4.88</v>
      </c>
      <c r="Z166" s="68">
        <v>-4.0199999999999996</v>
      </c>
      <c r="AA166" s="68">
        <v>-4.0199999999999996</v>
      </c>
      <c r="AB166" s="68">
        <v>-4.0199999999999996</v>
      </c>
      <c r="AC166" s="68">
        <v>-0.38</v>
      </c>
      <c r="AD166" s="68">
        <v>1.65</v>
      </c>
      <c r="AE166" s="68">
        <v>4.12</v>
      </c>
      <c r="AF166" s="68">
        <v>5.13</v>
      </c>
      <c r="AG166" s="69">
        <v>6.21</v>
      </c>
      <c r="AH166" s="70">
        <v>7.03</v>
      </c>
      <c r="AI166" s="70">
        <v>7.53</v>
      </c>
      <c r="AJ166" s="70">
        <v>8.2100000000000009</v>
      </c>
      <c r="AK166" s="8">
        <f>ROUND(J166/VLOOKUP($C166,CapRate,2),0)</f>
        <v>60</v>
      </c>
      <c r="AL166" s="8">
        <f>ROUND(K166/VLOOKUP($C166,CapRate,3),0)</f>
        <v>56</v>
      </c>
      <c r="AM166" s="85">
        <f>ROUND(L166/VLOOKUP($C166,CapRate,4),0)</f>
        <v>52</v>
      </c>
      <c r="AN166" s="23">
        <f>ROUND(M166/VLOOKUP($C166,CapRate,5),0)</f>
        <v>50</v>
      </c>
      <c r="AO166" s="85">
        <f t="shared" si="29"/>
        <v>53</v>
      </c>
      <c r="AP166" s="72">
        <f t="shared" si="30"/>
        <v>43</v>
      </c>
      <c r="AQ166" s="71">
        <f t="shared" si="35"/>
        <v>39</v>
      </c>
      <c r="AR166" s="71">
        <f t="shared" si="35"/>
        <v>39</v>
      </c>
      <c r="AS166" s="71">
        <f t="shared" si="39"/>
        <v>32</v>
      </c>
      <c r="AT166" s="71">
        <f t="shared" si="40"/>
        <v>21</v>
      </c>
      <c r="AU166" s="71">
        <f t="shared" si="36"/>
        <v>19</v>
      </c>
      <c r="AV166" s="72">
        <f>IF(ROUND(V166/VLOOKUP($C166,CapRate,12),0)&gt;AV165,V166/VLOOKUP($C166,CapRate,12),AV165)</f>
        <v>26</v>
      </c>
      <c r="AW166" s="72">
        <f>IF(ROUND(W166/VLOOKUP($C166,CapRate,13),0)&gt;AW165,W166/VLOOKUP($C166,CapRate,13),AW165)</f>
        <v>21.089743589743591</v>
      </c>
      <c r="AX166" s="72">
        <f>IF(ROUND(X166/VLOOKUP($C166,CapRate,14),0)&gt;AX165,X166/VLOOKUP($C166,CapRate,14),AX165)</f>
        <v>20.676451818761965</v>
      </c>
      <c r="AY166" s="72">
        <f>IF(ROUND(Y166/VLOOKUP($C166,CapRate,15),0)&gt;AY165,Y166/VLOOKUP($C166,CapRate,15),AY165)</f>
        <v>19.835234474017742</v>
      </c>
      <c r="AZ166" s="72">
        <f>IF(ROUND(Z166/VLOOKUP($C166,CapRate,16),0)&gt;AZ165,Z166/VLOOKUP($C166,CapRate,16),AZ165)</f>
        <v>24.84237074401009</v>
      </c>
      <c r="BA166" s="72">
        <f>IF(ROUND(AA166/VLOOKUP($C166,CapRate,17),0)&gt;BA165,AA166/VLOOKUP($C166,CapRate,17),BA165)</f>
        <v>28.22429906542056</v>
      </c>
      <c r="BB166" s="72">
        <f>IF(ROUND(AB166/VLOOKUP($C166,CapRate,18),0)&gt;BB165,AB166/VLOOKUP($C166,CapRate,18),BB165)</f>
        <v>33.126934984520119</v>
      </c>
      <c r="BC166" s="72">
        <f>IF(ROUND(AC166/VLOOKUP($C166,CapRate,19),0)&gt;BC165,AC166/VLOOKUP($C166,CapRate,19),BC165)</f>
        <v>37.824474660074166</v>
      </c>
      <c r="BD166" s="72">
        <f>IF(ROUND(AD166/VLOOKUP($C166,CapRate,20),0)&gt;BD165,AD166/VLOOKUP($C166,CapRate,20),BD165)</f>
        <v>43.722943722943725</v>
      </c>
      <c r="BE166" s="72">
        <f>IF(ROUND(AE166/VLOOKUP($C166,CapRate,21),0)&gt;BE165,AE166/VLOOKUP($C166,CapRate,21),BE165)</f>
        <v>49.34903905765654</v>
      </c>
      <c r="BF166" s="72">
        <f>IF(ROUND(AF166/VLOOKUP($C166,CapRate,22),0)&gt;BF165,AF166/VLOOKUP($C166,CapRate,22),BF165)</f>
        <v>49.906542056074763</v>
      </c>
      <c r="BG166" s="72">
        <f>IF(ROUND(AG166/VLOOKUP($C166,CapRate,23),0)&gt;BG165,AG166/VLOOKUP($C166,CapRate,23),BG165)</f>
        <v>50.877192982456137</v>
      </c>
      <c r="BH166" s="72">
        <f>IF(ROUND(AH166/VLOOKUP($C166,CapRate,24),0)&gt;BH165,AH166/VLOOKUP($C166,CapRate,24),BH165)</f>
        <v>49.936708860759488</v>
      </c>
      <c r="BI166" s="72">
        <f>IF(ROUND(AI166/VLOOKUP($C166,CapRate,25),0)&gt;BI165,AI166/VLOOKUP($C166,CapRate,25),BI165)</f>
        <v>49</v>
      </c>
      <c r="BJ166" s="72">
        <f>IF(ROUND(AJ166/VLOOKUP($C166,CapRate,26),0)&gt;BJ165,AJ166/VLOOKUP($C166,CapRate,26),BJ165)</f>
        <v>52.899484536082475</v>
      </c>
      <c r="BK166" s="87">
        <f t="shared" si="38"/>
        <v>7.9581317062907608E-2</v>
      </c>
      <c r="BL166" s="76"/>
      <c r="BM166" s="77"/>
      <c r="BN166" s="77"/>
      <c r="BO166" s="77"/>
      <c r="BP166" s="77">
        <f>BK166</f>
        <v>7.9581317062907608E-2</v>
      </c>
    </row>
    <row r="167" spans="1:68" ht="15.9" customHeight="1">
      <c r="A167" s="54">
        <v>50</v>
      </c>
      <c r="B167" s="22"/>
      <c r="C167" s="8" t="s">
        <v>103</v>
      </c>
      <c r="D167" s="23"/>
      <c r="E167" s="8" t="s">
        <v>40</v>
      </c>
      <c r="F167" s="188">
        <f>[1]AcreSummary!J50</f>
        <v>0.49638931927277608</v>
      </c>
      <c r="G167" s="25"/>
      <c r="H167" s="117"/>
      <c r="I167" s="57">
        <f>[1]Dry!E50</f>
        <v>15.42</v>
      </c>
      <c r="J167" s="58">
        <f>[1]Dry!F50</f>
        <v>14.58</v>
      </c>
      <c r="K167" s="80">
        <f>[1]Dry!G50</f>
        <v>14.81</v>
      </c>
      <c r="L167" s="68">
        <f>[1]Dry!H50</f>
        <v>15.76</v>
      </c>
      <c r="M167" s="58">
        <f>[1]Dry!I50</f>
        <v>17.28</v>
      </c>
      <c r="N167" s="81">
        <f>[1]Dry!J50</f>
        <v>19.14</v>
      </c>
      <c r="O167" s="62">
        <v>18.559999999999999</v>
      </c>
      <c r="P167" s="81">
        <f>[1]Dry!K50</f>
        <v>21.22</v>
      </c>
      <c r="Q167" s="82">
        <f>[1]Dry!L50</f>
        <v>23.62</v>
      </c>
      <c r="R167" s="83">
        <f>Q167*0.95</f>
        <v>22.439</v>
      </c>
      <c r="S167" s="84">
        <f>[1]Dry!N50</f>
        <v>25.47</v>
      </c>
      <c r="T167" s="66">
        <f>[1]Dry!O50</f>
        <v>27.4</v>
      </c>
      <c r="U167" s="67">
        <f>[1]Dry!P50</f>
        <v>28.23</v>
      </c>
      <c r="V167" s="68">
        <f>[1]Dry!Q50</f>
        <v>27.63</v>
      </c>
      <c r="W167" s="68">
        <f>[1]Dry!R50</f>
        <v>29.65</v>
      </c>
      <c r="X167" s="68">
        <f>[1]Dry!S50</f>
        <v>31.82</v>
      </c>
      <c r="Y167" s="68">
        <f>[1]Dry!T50</f>
        <v>36.25</v>
      </c>
      <c r="Z167" s="68">
        <v>39.93</v>
      </c>
      <c r="AA167" s="68">
        <v>44.01</v>
      </c>
      <c r="AB167" s="68">
        <v>47.73</v>
      </c>
      <c r="AC167" s="68">
        <v>50.36</v>
      </c>
      <c r="AD167" s="68">
        <v>50.85</v>
      </c>
      <c r="AE167" s="68">
        <v>50.49</v>
      </c>
      <c r="AF167" s="68">
        <v>49.88</v>
      </c>
      <c r="AG167" s="69">
        <v>48.95</v>
      </c>
      <c r="AH167" s="70">
        <v>45.98</v>
      </c>
      <c r="AI167" s="70">
        <v>41.2</v>
      </c>
      <c r="AJ167" s="70">
        <v>38.340000000000003</v>
      </c>
      <c r="AK167" s="8">
        <f t="shared" si="31"/>
        <v>93</v>
      </c>
      <c r="AL167" s="8">
        <f t="shared" si="32"/>
        <v>94</v>
      </c>
      <c r="AM167" s="85">
        <f t="shared" si="33"/>
        <v>98</v>
      </c>
      <c r="AN167" s="23">
        <f t="shared" si="34"/>
        <v>110</v>
      </c>
      <c r="AO167" s="85">
        <f t="shared" si="29"/>
        <v>122</v>
      </c>
      <c r="AP167" s="72">
        <f t="shared" si="30"/>
        <v>141</v>
      </c>
      <c r="AQ167" s="71">
        <f t="shared" si="35"/>
        <v>156</v>
      </c>
      <c r="AR167" s="71">
        <f t="shared" si="35"/>
        <v>148</v>
      </c>
      <c r="AS167" s="71">
        <f t="shared" si="39"/>
        <v>168</v>
      </c>
      <c r="AT167" s="71">
        <f t="shared" si="40"/>
        <v>180</v>
      </c>
      <c r="AU167" s="71">
        <f t="shared" si="36"/>
        <v>186</v>
      </c>
      <c r="AV167" s="72">
        <f t="shared" si="37"/>
        <v>178</v>
      </c>
      <c r="AW167" s="72">
        <f>ROUND(W167/VLOOKUP($C167,CapRate,13),0)</f>
        <v>190</v>
      </c>
      <c r="AX167" s="72">
        <f>ROUND(X167/VLOOKUP($C167,CapRate,14),0)</f>
        <v>203</v>
      </c>
      <c r="AY167" s="72">
        <f>ROUND(Y167/VLOOKUP($C167,CapRate,15),0)</f>
        <v>230</v>
      </c>
      <c r="AZ167" s="72">
        <f>ROUND(Z167/VLOOKUP($C167,CapRate,16),0)</f>
        <v>252</v>
      </c>
      <c r="BA167" s="72">
        <f>ROUND(AA167/VLOOKUP($C167,CapRate,17),0)</f>
        <v>274</v>
      </c>
      <c r="BB167" s="72">
        <f>ROUND(AB167/VLOOKUP($C167,CapRate,18),0)</f>
        <v>296</v>
      </c>
      <c r="BC167" s="72">
        <f>ROUND(AC167/VLOOKUP($C167,CapRate,19),0)</f>
        <v>311</v>
      </c>
      <c r="BD167" s="72">
        <f>ROUND(AD167/VLOOKUP($C167,CapRate,20),0)</f>
        <v>314</v>
      </c>
      <c r="BE167" s="72">
        <f>ROUND(AE167/VLOOKUP($C167,CapRate,21),0)</f>
        <v>313</v>
      </c>
      <c r="BF167" s="72">
        <f>ROUND(AF167/VLOOKUP($C167,CapRate,22),0)</f>
        <v>311</v>
      </c>
      <c r="BG167" s="72">
        <f>ROUND(AG167/VLOOKUP($C167,CapRate,23),0)</f>
        <v>307</v>
      </c>
      <c r="BH167" s="72">
        <f>ROUND(AH167/VLOOKUP($C167,CapRate,24),0)</f>
        <v>291</v>
      </c>
      <c r="BI167" s="72">
        <f>ROUND(AI167/VLOOKUP($C167,CapRate,25),0)</f>
        <v>263</v>
      </c>
      <c r="BJ167" s="72">
        <f>ROUND(AJ167/VLOOKUP($C167,CapRate,26),0)</f>
        <v>247</v>
      </c>
      <c r="BK167" s="87">
        <f t="shared" si="38"/>
        <v>-6.0836501901140649E-2</v>
      </c>
      <c r="BL167" s="76"/>
      <c r="BM167" s="77"/>
      <c r="BN167" s="77">
        <f>BK167</f>
        <v>-6.0836501901140649E-2</v>
      </c>
      <c r="BO167" s="77"/>
      <c r="BP167" s="77"/>
    </row>
    <row r="168" spans="1:68" ht="15.9" customHeight="1" thickBot="1">
      <c r="A168" s="54">
        <v>50</v>
      </c>
      <c r="B168" s="22"/>
      <c r="C168" s="90" t="s">
        <v>103</v>
      </c>
      <c r="D168" s="91"/>
      <c r="E168" s="90" t="s">
        <v>41</v>
      </c>
      <c r="F168" s="190">
        <f>[1]AcreSummary!K50</f>
        <v>3.3403877966188818E-3</v>
      </c>
      <c r="G168" s="191">
        <f>[1]Irrigated!D57</f>
        <v>100</v>
      </c>
      <c r="H168" s="94">
        <f>[1]Irrigated!E57</f>
        <v>1</v>
      </c>
      <c r="I168" s="95"/>
      <c r="J168" s="96">
        <f>[1]Irrigated!H57</f>
        <v>46.41</v>
      </c>
      <c r="K168" s="97">
        <f>[1]Irrigated!I57</f>
        <v>47.53</v>
      </c>
      <c r="L168" s="98">
        <f>[1]Irrigated!J57</f>
        <v>49.42</v>
      </c>
      <c r="M168" s="96">
        <f>[1]Irrigated!K57</f>
        <v>52.09</v>
      </c>
      <c r="N168" s="99">
        <f>[1]Irrigated!L57</f>
        <v>55.25</v>
      </c>
      <c r="O168" s="100">
        <v>51.23</v>
      </c>
      <c r="P168" s="99">
        <f>[1]Irrigated!M57</f>
        <v>56.17</v>
      </c>
      <c r="Q168" s="101">
        <f>[1]Irrigated!N57</f>
        <v>55.51</v>
      </c>
      <c r="R168" s="102">
        <v>55.51</v>
      </c>
      <c r="S168" s="103">
        <f>[1]Irrigated!O57</f>
        <v>55.01</v>
      </c>
      <c r="T168" s="104">
        <f>[1]Irrigated!P57</f>
        <v>54.65</v>
      </c>
      <c r="U168" s="105">
        <f>[1]Irrigated!Q57</f>
        <v>52.34</v>
      </c>
      <c r="V168" s="98">
        <f>[1]Irrigated!R57</f>
        <v>38.07</v>
      </c>
      <c r="W168" s="98">
        <f>[1]Irrigated!S57</f>
        <v>40.43</v>
      </c>
      <c r="X168" s="98">
        <v>43.77</v>
      </c>
      <c r="Y168" s="98">
        <v>49.74</v>
      </c>
      <c r="Z168" s="98">
        <v>56.52</v>
      </c>
      <c r="AA168" s="98">
        <v>61</v>
      </c>
      <c r="AB168" s="98">
        <v>70.040000000000006</v>
      </c>
      <c r="AC168" s="98">
        <v>75.8</v>
      </c>
      <c r="AD168" s="98">
        <v>77.459999999999994</v>
      </c>
      <c r="AE168" s="98">
        <v>77.03</v>
      </c>
      <c r="AF168" s="98">
        <v>75.36</v>
      </c>
      <c r="AG168" s="106">
        <v>75.239999999999995</v>
      </c>
      <c r="AH168" s="107">
        <v>71.150000000000006</v>
      </c>
      <c r="AI168" s="107">
        <v>63.53</v>
      </c>
      <c r="AJ168" s="107">
        <v>56.89</v>
      </c>
      <c r="AK168" s="90">
        <f t="shared" si="31"/>
        <v>296</v>
      </c>
      <c r="AL168" s="90">
        <f t="shared" si="32"/>
        <v>300</v>
      </c>
      <c r="AM168" s="108">
        <f t="shared" si="33"/>
        <v>308</v>
      </c>
      <c r="AN168" s="91">
        <f t="shared" si="34"/>
        <v>331</v>
      </c>
      <c r="AO168" s="108">
        <f t="shared" si="29"/>
        <v>338</v>
      </c>
      <c r="AP168" s="109">
        <f t="shared" si="30"/>
        <v>372</v>
      </c>
      <c r="AQ168" s="110">
        <f t="shared" si="35"/>
        <v>367</v>
      </c>
      <c r="AR168" s="110">
        <f t="shared" si="35"/>
        <v>367</v>
      </c>
      <c r="AS168" s="110">
        <f t="shared" si="39"/>
        <v>362</v>
      </c>
      <c r="AT168" s="110">
        <f t="shared" si="40"/>
        <v>359</v>
      </c>
      <c r="AU168" s="110">
        <f t="shared" si="36"/>
        <v>344</v>
      </c>
      <c r="AV168" s="109">
        <f t="shared" si="37"/>
        <v>245</v>
      </c>
      <c r="AW168" s="109">
        <f>ROUND(W168/VLOOKUP($C168,CapRate,13),0)</f>
        <v>259</v>
      </c>
      <c r="AX168" s="109">
        <f>ROUND(X168/VLOOKUP($C168,CapRate,14),0)</f>
        <v>279</v>
      </c>
      <c r="AY168" s="109">
        <f>ROUND(Y168/VLOOKUP($C168,CapRate,15),0)</f>
        <v>315</v>
      </c>
      <c r="AZ168" s="109">
        <f>ROUND(Z168/VLOOKUP($C168,CapRate,16),0)</f>
        <v>356</v>
      </c>
      <c r="BA168" s="109">
        <f>ROUND(AA168/VLOOKUP($C168,CapRate,17),0)</f>
        <v>380</v>
      </c>
      <c r="BB168" s="109">
        <f>ROUND(AB168/VLOOKUP($C168,CapRate,18),0)</f>
        <v>434</v>
      </c>
      <c r="BC168" s="109">
        <f>ROUND(AC168/VLOOKUP($C168,CapRate,19),0)</f>
        <v>468</v>
      </c>
      <c r="BD168" s="109">
        <f>ROUND(AD168/VLOOKUP($C168,CapRate,20),0)</f>
        <v>479</v>
      </c>
      <c r="BE168" s="109">
        <f>ROUND(AE168/VLOOKUP($C168,CapRate,21),0)</f>
        <v>478</v>
      </c>
      <c r="BF168" s="109">
        <f>ROUND(AF168/VLOOKUP($C168,CapRate,22),0)</f>
        <v>470</v>
      </c>
      <c r="BG168" s="109">
        <f>ROUND(AG168/VLOOKUP($C168,CapRate,23),0)</f>
        <v>471</v>
      </c>
      <c r="BH168" s="109">
        <f>ROUND(AH168/VLOOKUP($C168,CapRate,24),0)</f>
        <v>450</v>
      </c>
      <c r="BI168" s="109">
        <f>ROUND(AI168/VLOOKUP($C168,CapRate,25),0)</f>
        <v>406</v>
      </c>
      <c r="BJ168" s="109">
        <f>ROUND(AJ168/VLOOKUP($C168,CapRate,26),0)</f>
        <v>367</v>
      </c>
      <c r="BK168" s="193">
        <f t="shared" si="38"/>
        <v>-9.605911330049266E-2</v>
      </c>
      <c r="BL168" s="114">
        <f>((F165*BK165)+(F166*BK166)+(F167*BK167)+(F168*BK168))</f>
        <v>-2.8709262264315503E-2</v>
      </c>
      <c r="BM168" s="120"/>
      <c r="BN168" s="115"/>
      <c r="BO168" s="115">
        <f>BK168</f>
        <v>-9.605911330049266E-2</v>
      </c>
      <c r="BP168" s="115"/>
    </row>
    <row r="169" spans="1:68" ht="15.9" customHeight="1" thickTop="1">
      <c r="A169" s="54">
        <v>50</v>
      </c>
      <c r="B169" s="22"/>
      <c r="C169" s="8" t="s">
        <v>104</v>
      </c>
      <c r="D169" s="23" t="s">
        <v>104</v>
      </c>
      <c r="E169" s="8" t="s">
        <v>39</v>
      </c>
      <c r="F169" s="188">
        <f>[1]AcreSummary!M51</f>
        <v>0.40536194489203525</v>
      </c>
      <c r="G169" s="25"/>
      <c r="H169" s="117"/>
      <c r="I169" s="57">
        <f>[1]Native!E49</f>
        <v>8.65</v>
      </c>
      <c r="J169" s="58">
        <f>[1]Native!F49</f>
        <v>7.54</v>
      </c>
      <c r="K169" s="80">
        <f>[1]Native!G49</f>
        <v>7.8857999999999997</v>
      </c>
      <c r="L169" s="68">
        <f>[1]Native!H49</f>
        <v>8.1969999999999992</v>
      </c>
      <c r="M169" s="58">
        <f>[1]Native!I49</f>
        <v>8.5431000000000008</v>
      </c>
      <c r="N169" s="81">
        <f>[1]Native!J49</f>
        <v>8.86</v>
      </c>
      <c r="O169" s="62">
        <v>8.69</v>
      </c>
      <c r="P169" s="81">
        <f>[1]Native!K49</f>
        <v>8.83</v>
      </c>
      <c r="Q169" s="82">
        <f>[1]Native!L49</f>
        <v>8.77</v>
      </c>
      <c r="R169" s="83">
        <v>8.77</v>
      </c>
      <c r="S169" s="84">
        <f>[1]Native!M49</f>
        <v>8.81</v>
      </c>
      <c r="T169" s="66">
        <f>[1]Native!N49</f>
        <v>8.8000000000000007</v>
      </c>
      <c r="U169" s="67">
        <f>[1]Native!O49</f>
        <v>8.64</v>
      </c>
      <c r="V169" s="67">
        <f>[1]Native!P49</f>
        <v>6.41</v>
      </c>
      <c r="W169" s="67">
        <f>[1]Native!Q49</f>
        <v>5.9</v>
      </c>
      <c r="X169" s="68">
        <v>6.1</v>
      </c>
      <c r="Y169" s="68">
        <v>6.23</v>
      </c>
      <c r="Z169" s="68">
        <v>7.86</v>
      </c>
      <c r="AA169" s="68">
        <v>8.76</v>
      </c>
      <c r="AB169" s="68">
        <v>9.75</v>
      </c>
      <c r="AC169" s="68">
        <v>10.65</v>
      </c>
      <c r="AD169" s="68">
        <v>11.74</v>
      </c>
      <c r="AE169" s="68">
        <v>12.76</v>
      </c>
      <c r="AF169" s="68">
        <v>12.89</v>
      </c>
      <c r="AG169" s="69">
        <v>13.09</v>
      </c>
      <c r="AH169" s="70">
        <v>12.86</v>
      </c>
      <c r="AI169" s="70">
        <v>12.68</v>
      </c>
      <c r="AJ169" s="70">
        <v>12.73</v>
      </c>
      <c r="AK169" s="8">
        <f t="shared" si="31"/>
        <v>51</v>
      </c>
      <c r="AL169" s="8">
        <f t="shared" si="32"/>
        <v>54</v>
      </c>
      <c r="AM169" s="85">
        <f t="shared" si="33"/>
        <v>55</v>
      </c>
      <c r="AN169" s="23">
        <f t="shared" si="34"/>
        <v>59</v>
      </c>
      <c r="AO169" s="85">
        <f t="shared" si="29"/>
        <v>62</v>
      </c>
      <c r="AP169" s="72">
        <f t="shared" si="30"/>
        <v>64</v>
      </c>
      <c r="AQ169" s="71">
        <f t="shared" si="35"/>
        <v>63</v>
      </c>
      <c r="AR169" s="71">
        <f t="shared" si="35"/>
        <v>63</v>
      </c>
      <c r="AS169" s="71">
        <f t="shared" si="39"/>
        <v>63</v>
      </c>
      <c r="AT169" s="71">
        <f t="shared" si="40"/>
        <v>62</v>
      </c>
      <c r="AU169" s="71">
        <f t="shared" si="36"/>
        <v>61</v>
      </c>
      <c r="AV169" s="72">
        <f t="shared" si="37"/>
        <v>44</v>
      </c>
      <c r="AW169" s="122">
        <f>IF(ROUND(W169/VLOOKUP($C169,CapRate,13),0)&gt;10,W169/VLOOKUP($C169,CapRate,13),10)</f>
        <v>40.245566166439289</v>
      </c>
      <c r="AX169" s="122">
        <f>IF(ROUND(X169/VLOOKUP($C169,CapRate,14),0)&gt;10,X169/VLOOKUP($C169,CapRate,14),10)</f>
        <v>41.496598639455783</v>
      </c>
      <c r="AY169" s="122">
        <f>IF(ROUND(Y169/VLOOKUP($C169,CapRate,15),0)&gt;10,Y169/VLOOKUP($C169,CapRate,15),10)</f>
        <v>41.924629878869446</v>
      </c>
      <c r="AZ169" s="122">
        <f>IF(ROUND(Z169/VLOOKUP($C169,CapRate,16),0)&gt;10,Z169/VLOOKUP($C169,CapRate,16),10)</f>
        <v>52.751677852348998</v>
      </c>
      <c r="BA169" s="122">
        <f>IF(ROUND(AA169/VLOOKUP($C169,CapRate,17),0)&gt;10,AA169/VLOOKUP($C169,CapRate,17),10)</f>
        <v>58.4</v>
      </c>
      <c r="BB169" s="122">
        <f>IF(ROUND(AB169/VLOOKUP($C169,CapRate,18),0)&gt;10,AB169/VLOOKUP($C169,CapRate,18),10)</f>
        <v>64.741035856573703</v>
      </c>
      <c r="BC169" s="122">
        <f>IF(ROUND(AC169/VLOOKUP($C169,CapRate,19),0)&gt;10,AC169/VLOOKUP($C169,CapRate,19),10)</f>
        <v>70.52980132450331</v>
      </c>
      <c r="BD169" s="122">
        <f>IF(ROUND(AD169/VLOOKUP($C169,CapRate,20),0)&gt;10,AD169/VLOOKUP($C169,CapRate,20),10)</f>
        <v>77.491749174917501</v>
      </c>
      <c r="BE169" s="122">
        <f>IF(ROUND(AE169/VLOOKUP($C169,CapRate,21),0)&gt;10,AE169/VLOOKUP($C169,CapRate,21),10)</f>
        <v>84.002633311389062</v>
      </c>
      <c r="BF169" s="122">
        <f>IF(ROUND(AF169/VLOOKUP($C169,CapRate,22),0)&gt;10,AF169/VLOOKUP($C169,CapRate,22),10)</f>
        <v>84.746877054569353</v>
      </c>
      <c r="BG169" s="122">
        <f>IF(ROUND(AG169/VLOOKUP($C169,CapRate,23),0)&gt;10,AG169/VLOOKUP($C169,CapRate,23),10)</f>
        <v>85.892388451443566</v>
      </c>
      <c r="BH169" s="122">
        <f>IF(ROUND(AH169/VLOOKUP($C169,CapRate,24),0)&gt;10,AH169/VLOOKUP($C169,CapRate,24),10)</f>
        <v>84.383202099737531</v>
      </c>
      <c r="BI169" s="122">
        <f>IF(ROUND(AI169/VLOOKUP($C169,CapRate,25),0)&gt;10,AI169/VLOOKUP($C169,CapRate,25),10)</f>
        <v>83.147540983606561</v>
      </c>
      <c r="BJ169" s="122">
        <f>IF(ROUND(AJ169/VLOOKUP($C169,CapRate,26),0)&gt;10,AJ169/VLOOKUP($C169,CapRate,26),10)</f>
        <v>83.420707732634327</v>
      </c>
      <c r="BK169" s="75">
        <f t="shared" si="38"/>
        <v>3.2853256487961335E-3</v>
      </c>
      <c r="BL169" s="76"/>
      <c r="BM169" s="77">
        <f>BK169</f>
        <v>3.2853256487961335E-3</v>
      </c>
      <c r="BN169" s="77"/>
      <c r="BO169" s="77"/>
      <c r="BP169" s="77"/>
    </row>
    <row r="170" spans="1:68" ht="15.9" customHeight="1">
      <c r="A170" s="54"/>
      <c r="B170" s="22"/>
      <c r="C170" s="8" t="s">
        <v>104</v>
      </c>
      <c r="D170" s="23"/>
      <c r="E170" s="8" t="s">
        <v>85</v>
      </c>
      <c r="F170" s="188">
        <f>[1]AcreSummary!L51</f>
        <v>6.5454654886800953E-2</v>
      </c>
      <c r="G170" s="25"/>
      <c r="H170" s="117"/>
      <c r="I170" s="57"/>
      <c r="J170" s="58">
        <f>[1]Tame!D18</f>
        <v>11.93</v>
      </c>
      <c r="K170" s="80">
        <f>[1]Tame!E18</f>
        <v>11.867000000000001</v>
      </c>
      <c r="L170" s="68">
        <f>[1]Tame!F18</f>
        <v>12.038600000000001</v>
      </c>
      <c r="M170" s="58">
        <f>[1]Tame!G18</f>
        <v>12.29</v>
      </c>
      <c r="N170" s="81">
        <f>[1]Tame!H18</f>
        <v>12.52</v>
      </c>
      <c r="O170" s="62">
        <v>12.46</v>
      </c>
      <c r="P170" s="81">
        <f>[1]Tame!I18</f>
        <v>12.19</v>
      </c>
      <c r="Q170" s="82">
        <f>[1]Tame!J18</f>
        <v>11.67</v>
      </c>
      <c r="R170" s="83">
        <v>11.67</v>
      </c>
      <c r="S170" s="84">
        <f>[1]Tame!K18</f>
        <v>10.99</v>
      </c>
      <c r="T170" s="66">
        <f>[1]Tame!L18</f>
        <v>10.1</v>
      </c>
      <c r="U170" s="67">
        <f>[1]Tame!M18</f>
        <v>9.8800000000000008</v>
      </c>
      <c r="V170" s="68">
        <f>[1]Tame!N18</f>
        <v>4.28</v>
      </c>
      <c r="W170" s="68">
        <f>[1]Tame!O18</f>
        <v>3.24</v>
      </c>
      <c r="X170" s="68">
        <v>3.64</v>
      </c>
      <c r="Y170" s="68">
        <v>3.97</v>
      </c>
      <c r="Z170" s="68">
        <v>5.52</v>
      </c>
      <c r="AA170" s="68">
        <v>7.33</v>
      </c>
      <c r="AB170" s="68">
        <v>9.2100000000000009</v>
      </c>
      <c r="AC170" s="68">
        <v>11.19</v>
      </c>
      <c r="AD170" s="68">
        <v>13.78</v>
      </c>
      <c r="AE170" s="68">
        <v>17.13</v>
      </c>
      <c r="AF170" s="68">
        <v>18.78</v>
      </c>
      <c r="AG170" s="69">
        <v>20.65</v>
      </c>
      <c r="AH170" s="70">
        <v>22.07</v>
      </c>
      <c r="AI170" s="70">
        <v>23.27</v>
      </c>
      <c r="AJ170" s="70">
        <v>24.66</v>
      </c>
      <c r="AK170" s="8">
        <f>ROUND(J170/VLOOKUP($C170,CapRate,2),0)</f>
        <v>81</v>
      </c>
      <c r="AL170" s="8">
        <f>ROUND(K170/VLOOKUP($C170,CapRate,3),0)</f>
        <v>81</v>
      </c>
      <c r="AM170" s="85">
        <f>ROUND(L170/VLOOKUP($C170,CapRate,4),0)</f>
        <v>81</v>
      </c>
      <c r="AN170" s="23">
        <f>ROUND(M170/VLOOKUP($C170,CapRate,5),0)</f>
        <v>85</v>
      </c>
      <c r="AO170" s="85">
        <f t="shared" si="29"/>
        <v>89</v>
      </c>
      <c r="AP170" s="72">
        <f t="shared" si="30"/>
        <v>88</v>
      </c>
      <c r="AQ170" s="71">
        <f t="shared" si="35"/>
        <v>83</v>
      </c>
      <c r="AR170" s="71">
        <f t="shared" si="35"/>
        <v>83</v>
      </c>
      <c r="AS170" s="71">
        <f t="shared" si="39"/>
        <v>78</v>
      </c>
      <c r="AT170" s="71">
        <f t="shared" si="40"/>
        <v>72</v>
      </c>
      <c r="AU170" s="71">
        <f t="shared" si="36"/>
        <v>70</v>
      </c>
      <c r="AV170" s="72">
        <f>IF(ROUND(V170/VLOOKUP($C170,CapRate,12),0)&gt;AV169,V170/VLOOKUP($C170,CapRate,12),AV169)</f>
        <v>44</v>
      </c>
      <c r="AW170" s="72">
        <f>IF(ROUND(W170/VLOOKUP($C170,CapRate,13),0)&gt;AW169,W170/VLOOKUP($C170,CapRate,13),AW169)</f>
        <v>40.245566166439289</v>
      </c>
      <c r="AX170" s="72">
        <f>IF(ROUND(X170/VLOOKUP($C170,CapRate,14),0)&gt;AX169,X170/VLOOKUP($C170,CapRate,14),AX169)</f>
        <v>41.496598639455783</v>
      </c>
      <c r="AY170" s="72">
        <f>IF(ROUND(Y170/VLOOKUP($C170,CapRate,15),0)&gt;AY169,Y170/VLOOKUP($C170,CapRate,15),AY169)</f>
        <v>41.924629878869446</v>
      </c>
      <c r="AZ170" s="72">
        <f>IF(ROUND(Z170/VLOOKUP($C170,CapRate,16),0)&gt;AZ169,Z170/VLOOKUP($C170,CapRate,16),AZ169)</f>
        <v>52.751677852348998</v>
      </c>
      <c r="BA170" s="72">
        <f>IF(ROUND(AA170/VLOOKUP($C170,CapRate,17),0)&gt;BA169,AA170/VLOOKUP($C170,CapRate,17),BA169)</f>
        <v>58.4</v>
      </c>
      <c r="BB170" s="72">
        <f>IF(ROUND(AB170/VLOOKUP($C170,CapRate,18),0)&gt;BB169,AB170/VLOOKUP($C170,CapRate,18),BB169)</f>
        <v>64.741035856573703</v>
      </c>
      <c r="BC170" s="72">
        <f>IF(ROUND(AC170/VLOOKUP($C170,CapRate,19),0)&gt;BC169,AC170/VLOOKUP($C170,CapRate,19),BC169)</f>
        <v>74.105960264900659</v>
      </c>
      <c r="BD170" s="72">
        <f>IF(ROUND(AD170/VLOOKUP($C170,CapRate,20),0)&gt;BD169,AD170/VLOOKUP($C170,CapRate,20),BD169)</f>
        <v>90.95709570957095</v>
      </c>
      <c r="BE170" s="72">
        <f>IF(ROUND(AE170/VLOOKUP($C170,CapRate,21),0)&gt;BE169,AE170/VLOOKUP($C170,CapRate,21),BE169)</f>
        <v>112.77156023699801</v>
      </c>
      <c r="BF170" s="72">
        <f>IF(ROUND(AF170/VLOOKUP($C170,CapRate,22),0)&gt;BF169,AF170/VLOOKUP($C170,CapRate,22),BF169)</f>
        <v>123.47140039447731</v>
      </c>
      <c r="BG170" s="72">
        <f>IF(ROUND(AG170/VLOOKUP($C170,CapRate,23),0)&gt;BG169,AG170/VLOOKUP($C170,CapRate,23),BG169)</f>
        <v>135.49868766404197</v>
      </c>
      <c r="BH170" s="72">
        <f>IF(ROUND(AH170/VLOOKUP($C170,CapRate,24),0)&gt;BH169,AH170/VLOOKUP($C170,CapRate,24),BH169)</f>
        <v>144.81627296587925</v>
      </c>
      <c r="BI170" s="72">
        <f>IF(ROUND(AI170/VLOOKUP($C170,CapRate,25),0)&gt;BI169,AI170/VLOOKUP($C170,CapRate,25),BI169)</f>
        <v>152.59016393442624</v>
      </c>
      <c r="BJ170" s="72">
        <f>IF(ROUND(AJ170/VLOOKUP($C170,CapRate,26),0)&gt;BJ169,AJ170/VLOOKUP($C170,CapRate,26),BJ169)</f>
        <v>161.59895150720837</v>
      </c>
      <c r="BK170" s="87">
        <f t="shared" si="38"/>
        <v>5.9039110651021742E-2</v>
      </c>
      <c r="BL170" s="76"/>
      <c r="BM170" s="77"/>
      <c r="BN170" s="77"/>
      <c r="BO170" s="77"/>
      <c r="BP170" s="77">
        <f>BK170</f>
        <v>5.9039110651021742E-2</v>
      </c>
    </row>
    <row r="171" spans="1:68" ht="15.9" customHeight="1">
      <c r="A171" s="54">
        <v>50</v>
      </c>
      <c r="B171" s="22"/>
      <c r="C171" s="8" t="s">
        <v>104</v>
      </c>
      <c r="D171" s="23"/>
      <c r="E171" s="8" t="s">
        <v>40</v>
      </c>
      <c r="F171" s="188">
        <f>[1]AcreSummary!J51</f>
        <v>0.52408923858855239</v>
      </c>
      <c r="G171" s="25"/>
      <c r="H171" s="117"/>
      <c r="I171" s="57">
        <f>[1]Dry!E51</f>
        <v>21.1</v>
      </c>
      <c r="J171" s="58">
        <f>[1]Dry!F51</f>
        <v>20.64</v>
      </c>
      <c r="K171" s="80">
        <f>[1]Dry!G51</f>
        <v>21.28</v>
      </c>
      <c r="L171" s="68">
        <f>[1]Dry!H51</f>
        <v>22.42</v>
      </c>
      <c r="M171" s="58">
        <f>[1]Dry!I51</f>
        <v>23.79</v>
      </c>
      <c r="N171" s="81">
        <f>[1]Dry!J51</f>
        <v>25.33</v>
      </c>
      <c r="O171" s="62">
        <v>25.29</v>
      </c>
      <c r="P171" s="81">
        <f>[1]Dry!K51</f>
        <v>26.64</v>
      </c>
      <c r="Q171" s="82">
        <f>[1]Dry!L51</f>
        <v>28.02</v>
      </c>
      <c r="R171" s="83">
        <f>Q171*0.95</f>
        <v>26.619</v>
      </c>
      <c r="S171" s="84">
        <f>[1]Dry!N51</f>
        <v>28.74</v>
      </c>
      <c r="T171" s="66">
        <f>[1]Dry!O51</f>
        <v>29.35</v>
      </c>
      <c r="U171" s="67">
        <f>[1]Dry!P51</f>
        <v>28.72</v>
      </c>
      <c r="V171" s="68">
        <f>[1]Dry!Q51</f>
        <v>25.71</v>
      </c>
      <c r="W171" s="68">
        <f>[1]Dry!R51</f>
        <v>28.23</v>
      </c>
      <c r="X171" s="68">
        <f>[1]Dry!S51</f>
        <v>31.03</v>
      </c>
      <c r="Y171" s="68">
        <f>[1]Dry!T51</f>
        <v>34.1</v>
      </c>
      <c r="Z171" s="68">
        <v>38.07</v>
      </c>
      <c r="AA171" s="68">
        <v>42.18</v>
      </c>
      <c r="AB171" s="68">
        <v>46.04</v>
      </c>
      <c r="AC171" s="68">
        <v>48.48</v>
      </c>
      <c r="AD171" s="68">
        <v>49.09</v>
      </c>
      <c r="AE171" s="68">
        <v>48.78</v>
      </c>
      <c r="AF171" s="68">
        <v>46.64</v>
      </c>
      <c r="AG171" s="69">
        <v>46.81</v>
      </c>
      <c r="AH171" s="70">
        <v>44.91</v>
      </c>
      <c r="AI171" s="70">
        <v>40.96</v>
      </c>
      <c r="AJ171" s="70">
        <v>39.090000000000003</v>
      </c>
      <c r="AK171" s="8">
        <f t="shared" si="31"/>
        <v>141</v>
      </c>
      <c r="AL171" s="8">
        <f t="shared" si="32"/>
        <v>145</v>
      </c>
      <c r="AM171" s="85">
        <f t="shared" si="33"/>
        <v>151</v>
      </c>
      <c r="AN171" s="23">
        <f t="shared" si="34"/>
        <v>164</v>
      </c>
      <c r="AO171" s="85">
        <f t="shared" si="29"/>
        <v>181</v>
      </c>
      <c r="AP171" s="72">
        <f t="shared" si="30"/>
        <v>192</v>
      </c>
      <c r="AQ171" s="71">
        <f t="shared" si="35"/>
        <v>200</v>
      </c>
      <c r="AR171" s="71">
        <f t="shared" si="35"/>
        <v>190</v>
      </c>
      <c r="AS171" s="71">
        <f t="shared" si="39"/>
        <v>205</v>
      </c>
      <c r="AT171" s="71">
        <f t="shared" si="40"/>
        <v>208</v>
      </c>
      <c r="AU171" s="71">
        <f t="shared" si="36"/>
        <v>203</v>
      </c>
      <c r="AV171" s="72">
        <f t="shared" si="37"/>
        <v>176</v>
      </c>
      <c r="AW171" s="72">
        <f>ROUND(W171/VLOOKUP($C171,CapRate,13),0)</f>
        <v>193</v>
      </c>
      <c r="AX171" s="72">
        <f>ROUND(X171/VLOOKUP($C171,CapRate,14),0)</f>
        <v>211</v>
      </c>
      <c r="AY171" s="72">
        <f>ROUND(Y171/VLOOKUP($C171,CapRate,15),0)</f>
        <v>229</v>
      </c>
      <c r="AZ171" s="72">
        <f>ROUND(Z171/VLOOKUP($C171,CapRate,16),0)</f>
        <v>256</v>
      </c>
      <c r="BA171" s="72">
        <f>ROUND(AA171/VLOOKUP($C171,CapRate,17),0)</f>
        <v>281</v>
      </c>
      <c r="BB171" s="72">
        <f>ROUND(AB171/VLOOKUP($C171,CapRate,18),0)</f>
        <v>306</v>
      </c>
      <c r="BC171" s="72">
        <f>ROUND(AC171/VLOOKUP($C171,CapRate,19),0)</f>
        <v>321</v>
      </c>
      <c r="BD171" s="72">
        <f>ROUND(AD171/VLOOKUP($C171,CapRate,20),0)</f>
        <v>324</v>
      </c>
      <c r="BE171" s="72">
        <f>ROUND(AE171/VLOOKUP($C171,CapRate,21),0)</f>
        <v>321</v>
      </c>
      <c r="BF171" s="72">
        <f>ROUND(AF171/VLOOKUP($C171,CapRate,22),0)</f>
        <v>307</v>
      </c>
      <c r="BG171" s="72">
        <f>ROUND(AG171/VLOOKUP($C171,CapRate,23),0)</f>
        <v>307</v>
      </c>
      <c r="BH171" s="72">
        <f>ROUND(AH171/VLOOKUP($C171,CapRate,24),0)</f>
        <v>295</v>
      </c>
      <c r="BI171" s="72">
        <f>ROUND(AI171/VLOOKUP($C171,CapRate,25),0)</f>
        <v>269</v>
      </c>
      <c r="BJ171" s="72">
        <f>ROUND(AJ171/VLOOKUP($C171,CapRate,26),0)</f>
        <v>256</v>
      </c>
      <c r="BK171" s="87">
        <f t="shared" si="38"/>
        <v>-4.8327137546468446E-2</v>
      </c>
      <c r="BL171" s="76"/>
      <c r="BM171" s="77"/>
      <c r="BN171" s="77">
        <f>BK171</f>
        <v>-4.8327137546468446E-2</v>
      </c>
      <c r="BO171" s="77"/>
      <c r="BP171" s="77"/>
    </row>
    <row r="172" spans="1:68" ht="15.9" customHeight="1" thickBot="1">
      <c r="A172" s="54">
        <v>50</v>
      </c>
      <c r="B172" s="22"/>
      <c r="C172" s="90" t="s">
        <v>104</v>
      </c>
      <c r="D172" s="91"/>
      <c r="E172" s="90" t="s">
        <v>41</v>
      </c>
      <c r="F172" s="190">
        <f>[1]AcreSummary!K51</f>
        <v>5.0941616326115966E-3</v>
      </c>
      <c r="G172" s="191">
        <f>[1]Irrigated!D58</f>
        <v>100</v>
      </c>
      <c r="H172" s="94">
        <f>[1]Irrigated!E58</f>
        <v>1</v>
      </c>
      <c r="I172" s="95"/>
      <c r="J172" s="96">
        <f>[1]Irrigated!H58</f>
        <v>45.83</v>
      </c>
      <c r="K172" s="97">
        <f>[1]Irrigated!I58</f>
        <v>46.73</v>
      </c>
      <c r="L172" s="98">
        <f>[1]Irrigated!J58</f>
        <v>48.37</v>
      </c>
      <c r="M172" s="96">
        <f>[1]Irrigated!K58</f>
        <v>50.77</v>
      </c>
      <c r="N172" s="99">
        <f>[1]Irrigated!L58</f>
        <v>53.6</v>
      </c>
      <c r="O172" s="100">
        <v>46.35</v>
      </c>
      <c r="P172" s="99">
        <f>[1]Irrigated!M58</f>
        <v>54.2</v>
      </c>
      <c r="Q172" s="101">
        <f>[1]Irrigated!N58</f>
        <v>53.36</v>
      </c>
      <c r="R172" s="102">
        <v>53.36</v>
      </c>
      <c r="S172" s="103">
        <f>[1]Irrigated!O58</f>
        <v>52.69</v>
      </c>
      <c r="T172" s="104">
        <f>[1]Irrigated!P58</f>
        <v>52.1</v>
      </c>
      <c r="U172" s="105">
        <f>[1]Irrigated!Q58</f>
        <v>49.78</v>
      </c>
      <c r="V172" s="98">
        <f>[1]Irrigated!R58</f>
        <v>35.590000000000003</v>
      </c>
      <c r="W172" s="98">
        <f>[1]Irrigated!S58</f>
        <v>37.9</v>
      </c>
      <c r="X172" s="98">
        <v>41.19</v>
      </c>
      <c r="Y172" s="98">
        <v>47.1</v>
      </c>
      <c r="Z172" s="98">
        <v>53.73</v>
      </c>
      <c r="AA172" s="98">
        <v>58.69</v>
      </c>
      <c r="AB172" s="98">
        <v>66.73</v>
      </c>
      <c r="AC172" s="98">
        <v>72.28</v>
      </c>
      <c r="AD172" s="98">
        <v>73.78</v>
      </c>
      <c r="AE172" s="98">
        <v>73.319999999999993</v>
      </c>
      <c r="AF172" s="98">
        <v>72.69</v>
      </c>
      <c r="AG172" s="106">
        <v>72.510000000000005</v>
      </c>
      <c r="AH172" s="107">
        <v>68.39</v>
      </c>
      <c r="AI172" s="107">
        <v>60.73</v>
      </c>
      <c r="AJ172" s="107">
        <v>54.05</v>
      </c>
      <c r="AK172" s="90">
        <f t="shared" si="31"/>
        <v>312</v>
      </c>
      <c r="AL172" s="90">
        <f t="shared" si="32"/>
        <v>319</v>
      </c>
      <c r="AM172" s="108">
        <f t="shared" si="33"/>
        <v>326</v>
      </c>
      <c r="AN172" s="91">
        <f t="shared" si="34"/>
        <v>349</v>
      </c>
      <c r="AO172" s="108">
        <f t="shared" si="29"/>
        <v>331</v>
      </c>
      <c r="AP172" s="109">
        <f t="shared" si="30"/>
        <v>391</v>
      </c>
      <c r="AQ172" s="110">
        <f t="shared" si="35"/>
        <v>382</v>
      </c>
      <c r="AR172" s="110">
        <f t="shared" si="35"/>
        <v>382</v>
      </c>
      <c r="AS172" s="110">
        <f t="shared" si="39"/>
        <v>375</v>
      </c>
      <c r="AT172" s="110">
        <f t="shared" si="40"/>
        <v>370</v>
      </c>
      <c r="AU172" s="110">
        <f t="shared" si="36"/>
        <v>352</v>
      </c>
      <c r="AV172" s="109">
        <f t="shared" si="37"/>
        <v>244</v>
      </c>
      <c r="AW172" s="109">
        <f>ROUND(W172/VLOOKUP($C172,CapRate,13),0)</f>
        <v>259</v>
      </c>
      <c r="AX172" s="109">
        <f>ROUND(X172/VLOOKUP($C172,CapRate,14),0)</f>
        <v>280</v>
      </c>
      <c r="AY172" s="109">
        <f>ROUND(Y172/VLOOKUP($C172,CapRate,15),0)</f>
        <v>317</v>
      </c>
      <c r="AZ172" s="109">
        <f>ROUND(Z172/VLOOKUP($C172,CapRate,16),0)</f>
        <v>361</v>
      </c>
      <c r="BA172" s="109">
        <f>ROUND(AA172/VLOOKUP($C172,CapRate,17),0)</f>
        <v>391</v>
      </c>
      <c r="BB172" s="109">
        <f>ROUND(AB172/VLOOKUP($C172,CapRate,18),0)</f>
        <v>443</v>
      </c>
      <c r="BC172" s="109">
        <f>ROUND(AC172/VLOOKUP($C172,CapRate,19),0)</f>
        <v>479</v>
      </c>
      <c r="BD172" s="109">
        <f>ROUND(AD172/VLOOKUP($C172,CapRate,20),0)</f>
        <v>487</v>
      </c>
      <c r="BE172" s="109">
        <f>ROUND(AE172/VLOOKUP($C172,CapRate,21),0)</f>
        <v>483</v>
      </c>
      <c r="BF172" s="109">
        <f>ROUND(AF172/VLOOKUP($C172,CapRate,22),0)</f>
        <v>478</v>
      </c>
      <c r="BG172" s="109">
        <f>ROUND(AG172/VLOOKUP($C172,CapRate,23),0)</f>
        <v>476</v>
      </c>
      <c r="BH172" s="109">
        <f>ROUND(AH172/VLOOKUP($C172,CapRate,24),0)</f>
        <v>449</v>
      </c>
      <c r="BI172" s="109">
        <f>ROUND(AI172/VLOOKUP($C172,CapRate,25),0)</f>
        <v>398</v>
      </c>
      <c r="BJ172" s="109">
        <f>ROUND(AJ172/VLOOKUP($C172,CapRate,26),0)</f>
        <v>354</v>
      </c>
      <c r="BK172" s="193">
        <f t="shared" si="38"/>
        <v>-0.11055276381909551</v>
      </c>
      <c r="BL172" s="114">
        <f>((F169*BK169)+(F170*BK170)+(F171*BK171)+(F172*BK172))</f>
        <v>-2.0694775760633329E-2</v>
      </c>
      <c r="BM172" s="120"/>
      <c r="BN172" s="115"/>
      <c r="BO172" s="115">
        <f>BK172</f>
        <v>-0.11055276381909551</v>
      </c>
      <c r="BP172" s="115"/>
    </row>
    <row r="173" spans="1:68" ht="15.9" customHeight="1" thickTop="1">
      <c r="A173" s="54">
        <v>50</v>
      </c>
      <c r="B173" s="22"/>
      <c r="C173" s="8" t="s">
        <v>105</v>
      </c>
      <c r="D173" s="23" t="s">
        <v>105</v>
      </c>
      <c r="E173" s="8" t="s">
        <v>39</v>
      </c>
      <c r="F173" s="188">
        <f>[1]AcreSummary!M52</f>
        <v>0.2697150173848612</v>
      </c>
      <c r="G173" s="25"/>
      <c r="H173" s="117"/>
      <c r="I173" s="57">
        <f>[1]Native!E50</f>
        <v>7.76</v>
      </c>
      <c r="J173" s="58">
        <f>[1]Native!F50</f>
        <v>7.7214999999999998</v>
      </c>
      <c r="K173" s="80">
        <f>[1]Native!G50</f>
        <v>8.0670000000000002</v>
      </c>
      <c r="L173" s="68">
        <f>[1]Native!H50</f>
        <v>8.3780000000000001</v>
      </c>
      <c r="M173" s="58">
        <f>[1]Native!I50</f>
        <v>8.7230000000000008</v>
      </c>
      <c r="N173" s="81">
        <f>[1]Native!J50</f>
        <v>9.0399999999999991</v>
      </c>
      <c r="O173" s="62">
        <v>8.7899999999999991</v>
      </c>
      <c r="P173" s="81">
        <f>[1]Native!K50</f>
        <v>9</v>
      </c>
      <c r="Q173" s="82">
        <f>[1]Native!L50</f>
        <v>8.93</v>
      </c>
      <c r="R173" s="83">
        <v>8.93</v>
      </c>
      <c r="S173" s="84">
        <f>[1]Native!M50</f>
        <v>8.9600000000000009</v>
      </c>
      <c r="T173" s="66">
        <f>[1]Native!N50</f>
        <v>8.92</v>
      </c>
      <c r="U173" s="67">
        <f>[1]Native!O50</f>
        <v>8.7200000000000006</v>
      </c>
      <c r="V173" s="67">
        <f>[1]Native!P50</f>
        <v>6.56</v>
      </c>
      <c r="W173" s="67">
        <f>[1]Native!Q50</f>
        <v>6.14</v>
      </c>
      <c r="X173" s="68">
        <v>6.5</v>
      </c>
      <c r="Y173" s="68">
        <v>6.78</v>
      </c>
      <c r="Z173" s="68">
        <v>7.99</v>
      </c>
      <c r="AA173" s="68">
        <v>9.01</v>
      </c>
      <c r="AB173" s="68">
        <v>10</v>
      </c>
      <c r="AC173" s="68">
        <v>10.92</v>
      </c>
      <c r="AD173" s="68">
        <v>12.02</v>
      </c>
      <c r="AE173" s="68">
        <v>13.05</v>
      </c>
      <c r="AF173" s="68">
        <v>13.19</v>
      </c>
      <c r="AG173" s="69">
        <v>13.39</v>
      </c>
      <c r="AH173" s="70">
        <v>13.17</v>
      </c>
      <c r="AI173" s="70">
        <v>12.99</v>
      </c>
      <c r="AJ173" s="70">
        <v>13.44</v>
      </c>
      <c r="AK173" s="8">
        <f t="shared" si="31"/>
        <v>52</v>
      </c>
      <c r="AL173" s="8">
        <f t="shared" si="32"/>
        <v>54</v>
      </c>
      <c r="AM173" s="85">
        <f t="shared" si="33"/>
        <v>56</v>
      </c>
      <c r="AN173" s="23">
        <f t="shared" si="34"/>
        <v>60</v>
      </c>
      <c r="AO173" s="85">
        <f t="shared" si="29"/>
        <v>63</v>
      </c>
      <c r="AP173" s="72">
        <f t="shared" si="30"/>
        <v>65</v>
      </c>
      <c r="AQ173" s="71">
        <f t="shared" si="35"/>
        <v>64</v>
      </c>
      <c r="AR173" s="71">
        <f t="shared" si="35"/>
        <v>64</v>
      </c>
      <c r="AS173" s="71">
        <f t="shared" si="39"/>
        <v>64</v>
      </c>
      <c r="AT173" s="71">
        <f t="shared" si="40"/>
        <v>64</v>
      </c>
      <c r="AU173" s="71">
        <f t="shared" si="36"/>
        <v>62</v>
      </c>
      <c r="AV173" s="72">
        <f t="shared" si="37"/>
        <v>47</v>
      </c>
      <c r="AW173" s="122">
        <f>IF(ROUND(W173/VLOOKUP($C173,CapRate,13),0)&gt;10,W173/VLOOKUP($C173,CapRate,13),10)</f>
        <v>43.638948116560059</v>
      </c>
      <c r="AX173" s="122">
        <f>IF(ROUND(X173/VLOOKUP($C173,CapRate,14),0)&gt;10,X173/VLOOKUP($C173,CapRate,14),10)</f>
        <v>46.164772727272727</v>
      </c>
      <c r="AY173" s="122">
        <f>IF(ROUND(Y173/VLOOKUP($C173,CapRate,15),0)&gt;10,Y173/VLOOKUP($C173,CapRate,15),10)</f>
        <v>48.119233498935415</v>
      </c>
      <c r="AZ173" s="122">
        <f>IF(ROUND(Z173/VLOOKUP($C173,CapRate,16),0)&gt;10,Z173/VLOOKUP($C173,CapRate,16),10)</f>
        <v>56.626506024096386</v>
      </c>
      <c r="BA173" s="122">
        <f>IF(ROUND(AA173/VLOOKUP($C173,CapRate,17),0)&gt;10,AA173/VLOOKUP($C173,CapRate,17),10)</f>
        <v>63.719943422913722</v>
      </c>
      <c r="BB173" s="122">
        <f>IF(ROUND(AB173/VLOOKUP($C173,CapRate,18),0)&gt;10,AB173/VLOOKUP($C173,CapRate,18),10)</f>
        <v>70.621468926553675</v>
      </c>
      <c r="BC173" s="122">
        <f>IF(ROUND(AC173/VLOOKUP($C173,CapRate,19),0)&gt;10,AC173/VLOOKUP($C173,CapRate,19),10)</f>
        <v>77.064220183486242</v>
      </c>
      <c r="BD173" s="122">
        <f>IF(ROUND(AD173/VLOOKUP($C173,CapRate,20),0)&gt;10,AD173/VLOOKUP($C173,CapRate,20),10)</f>
        <v>84.767277856135394</v>
      </c>
      <c r="BE173" s="122">
        <f>IF(ROUND(AE173/VLOOKUP($C173,CapRate,21),0)&gt;10,AE173/VLOOKUP($C173,CapRate,21),10)</f>
        <v>91.966173361522209</v>
      </c>
      <c r="BF173" s="122">
        <f>IF(ROUND(AF173/VLOOKUP($C173,CapRate,22),0)&gt;10,AF173/VLOOKUP($C173,CapRate,22),10)</f>
        <v>92.952783650458073</v>
      </c>
      <c r="BG173" s="122">
        <f>IF(ROUND(AG173/VLOOKUP($C173,CapRate,23),0)&gt;10,AG173/VLOOKUP($C173,CapRate,23),10)</f>
        <v>94.42877291960508</v>
      </c>
      <c r="BH173" s="122">
        <f>IF(ROUND(AH173/VLOOKUP($C173,CapRate,24),0)&gt;10,AH173/VLOOKUP($C173,CapRate,24),10)</f>
        <v>92.811839323467225</v>
      </c>
      <c r="BI173" s="122">
        <f>IF(ROUND(AI173/VLOOKUP($C173,CapRate,25),0)&gt;10,AI173/VLOOKUP($C173,CapRate,25),10)</f>
        <v>91.543340380549679</v>
      </c>
      <c r="BJ173" s="122">
        <f>IF(ROUND(AJ173/VLOOKUP($C173,CapRate,26),0)&gt;10,AJ173/VLOOKUP($C173,CapRate,26),10)</f>
        <v>94.581280788177338</v>
      </c>
      <c r="BK173" s="75">
        <f t="shared" si="38"/>
        <v>3.3185815538288255E-2</v>
      </c>
      <c r="BL173" s="76"/>
      <c r="BM173" s="77">
        <f>BK173</f>
        <v>3.3185815538288255E-2</v>
      </c>
      <c r="BN173" s="77"/>
      <c r="BO173" s="77"/>
      <c r="BP173" s="77"/>
    </row>
    <row r="174" spans="1:68" ht="15.9" customHeight="1">
      <c r="A174" s="54"/>
      <c r="B174" s="22"/>
      <c r="C174" s="8" t="s">
        <v>105</v>
      </c>
      <c r="D174" s="23"/>
      <c r="E174" s="8" t="s">
        <v>85</v>
      </c>
      <c r="F174" s="188">
        <f>[1]AcreSummary!L52</f>
        <v>2.0308869073414594E-2</v>
      </c>
      <c r="G174" s="25"/>
      <c r="H174" s="117"/>
      <c r="I174" s="57"/>
      <c r="J174" s="58">
        <f>[1]Tame!D19</f>
        <v>10.5</v>
      </c>
      <c r="K174" s="80">
        <f>[1]Tame!E19</f>
        <v>10.188000000000001</v>
      </c>
      <c r="L174" s="68">
        <f>[1]Tame!F19</f>
        <v>10.067</v>
      </c>
      <c r="M174" s="58">
        <f>[1]Tame!G19</f>
        <v>10.007999999999999</v>
      </c>
      <c r="N174" s="81">
        <f>[1]Tame!H19</f>
        <v>9.93</v>
      </c>
      <c r="O174" s="62">
        <v>9.6199999999999992</v>
      </c>
      <c r="P174" s="81">
        <f>[1]Tame!I19</f>
        <v>9.4</v>
      </c>
      <c r="Q174" s="82">
        <f>[1]Tame!J19</f>
        <v>8.8800000000000008</v>
      </c>
      <c r="R174" s="83">
        <v>8.8800000000000008</v>
      </c>
      <c r="S174" s="84">
        <f>[1]Tame!K19</f>
        <v>8.08</v>
      </c>
      <c r="T174" s="66">
        <f>[1]Tame!L19</f>
        <v>6.86</v>
      </c>
      <c r="U174" s="67">
        <f>[1]Tame!M19</f>
        <v>6.67</v>
      </c>
      <c r="V174" s="68">
        <f>[1]Tame!N19</f>
        <v>1.1100000000000001</v>
      </c>
      <c r="W174" s="68">
        <f>[1]Tame!O19</f>
        <v>-7.0000000000000007E-2</v>
      </c>
      <c r="X174" s="68">
        <v>0.17</v>
      </c>
      <c r="Y174" s="68">
        <v>0.35</v>
      </c>
      <c r="Z174" s="68">
        <v>1.7</v>
      </c>
      <c r="AA174" s="68">
        <v>3.27</v>
      </c>
      <c r="AB174" s="68">
        <v>4.8899999999999997</v>
      </c>
      <c r="AC174" s="68">
        <v>6.61</v>
      </c>
      <c r="AD174" s="68">
        <v>8.98</v>
      </c>
      <c r="AE174" s="68">
        <v>11.97</v>
      </c>
      <c r="AF174" s="68">
        <v>13.45</v>
      </c>
      <c r="AG174" s="69">
        <v>15.01</v>
      </c>
      <c r="AH174" s="70">
        <v>16.2</v>
      </c>
      <c r="AI174" s="70">
        <v>17.12</v>
      </c>
      <c r="AJ174" s="70">
        <v>18.920000000000002</v>
      </c>
      <c r="AK174" s="8">
        <f>ROUND(J174/VLOOKUP($C174,CapRate,2),0)</f>
        <v>70</v>
      </c>
      <c r="AL174" s="8">
        <f>ROUND(K174/VLOOKUP($C174,CapRate,3),0)</f>
        <v>68</v>
      </c>
      <c r="AM174" s="85">
        <f>ROUND(L174/VLOOKUP($C174,CapRate,4),0)</f>
        <v>67</v>
      </c>
      <c r="AN174" s="23">
        <f>ROUND(M174/VLOOKUP($C174,CapRate,5),0)</f>
        <v>68</v>
      </c>
      <c r="AO174" s="85">
        <f t="shared" si="29"/>
        <v>69</v>
      </c>
      <c r="AP174" s="72">
        <f t="shared" si="30"/>
        <v>68</v>
      </c>
      <c r="AQ174" s="71">
        <f t="shared" si="35"/>
        <v>64</v>
      </c>
      <c r="AR174" s="71">
        <f t="shared" si="35"/>
        <v>64</v>
      </c>
      <c r="AS174" s="71">
        <f t="shared" si="39"/>
        <v>58</v>
      </c>
      <c r="AT174" s="71">
        <f t="shared" si="40"/>
        <v>49</v>
      </c>
      <c r="AU174" s="71">
        <f t="shared" si="36"/>
        <v>48</v>
      </c>
      <c r="AV174" s="72">
        <f>IF(ROUND(V174/VLOOKUP($C174,CapRate,12),0)&gt;AV173,V174/VLOOKUP($C174,CapRate,12),AV173)</f>
        <v>47</v>
      </c>
      <c r="AW174" s="72">
        <f>IF(ROUND(W174/VLOOKUP($C174,CapRate,13),0)&gt;AW173,W174/VLOOKUP($C174,CapRate,13),AW173)</f>
        <v>43.638948116560059</v>
      </c>
      <c r="AX174" s="72">
        <f>IF(ROUND(X174/VLOOKUP($C174,CapRate,14),0)&gt;AX173,X174/VLOOKUP($C174,CapRate,14),AX173)</f>
        <v>46.164772727272727</v>
      </c>
      <c r="AY174" s="72">
        <f>IF(ROUND(Y174/VLOOKUP($C174,CapRate,15),0)&gt;AY173,Y174/VLOOKUP($C174,CapRate,15),AY173)</f>
        <v>48.119233498935415</v>
      </c>
      <c r="AZ174" s="72">
        <f>IF(ROUND(Z174/VLOOKUP($C174,CapRate,16),0)&gt;AZ173,Z174/VLOOKUP($C174,CapRate,16),AZ173)</f>
        <v>56.626506024096386</v>
      </c>
      <c r="BA174" s="72">
        <f>IF(ROUND(AA174/VLOOKUP($C174,CapRate,17),0)&gt;BA173,AA174/VLOOKUP($C174,CapRate,17),BA173)</f>
        <v>63.719943422913722</v>
      </c>
      <c r="BB174" s="72">
        <f>IF(ROUND(AB174/VLOOKUP($C174,CapRate,18),0)&gt;BB173,AB174/VLOOKUP($C174,CapRate,18),BB173)</f>
        <v>70.621468926553675</v>
      </c>
      <c r="BC174" s="72">
        <f>IF(ROUND(AC174/VLOOKUP($C174,CapRate,19),0)&gt;BC173,AC174/VLOOKUP($C174,CapRate,19),BC173)</f>
        <v>77.064220183486242</v>
      </c>
      <c r="BD174" s="72">
        <f>IF(ROUND(AD174/VLOOKUP($C174,CapRate,20),0)&gt;BD173,AD174/VLOOKUP($C174,CapRate,20),BD173)</f>
        <v>84.767277856135394</v>
      </c>
      <c r="BE174" s="72">
        <f>IF(ROUND(AE174/VLOOKUP($C174,CapRate,21),0)&gt;BE173,AE174/VLOOKUP($C174,CapRatel,21),BE173)</f>
        <v>91.966173361522209</v>
      </c>
      <c r="BF174" s="72">
        <f>IF(ROUND(AF174/VLOOKUP($C174,CapRate,22),0)&gt;BF173,AF174/VLOOKUP($C174,CapRate,22),BF173)</f>
        <v>94.785059901338968</v>
      </c>
      <c r="BG174" s="72">
        <f>IF(ROUND(AG174/VLOOKUP($C174,CapRate,23),0)&gt;BG173,AG174/VLOOKUP($C174,CapRate,23),BG173)</f>
        <v>105.85331452750351</v>
      </c>
      <c r="BH174" s="72">
        <f>IF(ROUND(AH174/VLOOKUP($C174,CapRate,24),0)&gt;BH173,AH174/VLOOKUP($C174,CapRate,24),BH173)</f>
        <v>114.16490486257928</v>
      </c>
      <c r="BI174" s="72">
        <f>IF(ROUND(AI174/VLOOKUP($C174,CapRate,25),0)&gt;BI173,AI174/VLOOKUP($C174,CapRate,25),BI173)</f>
        <v>120.64834390415787</v>
      </c>
      <c r="BJ174" s="72">
        <f>IF(ROUND(AJ174/VLOOKUP($C174,CapRate,26),0)&gt;BJ173,AJ174/VLOOKUP($C174,CapRate,26),BJ173)</f>
        <v>133.14567206192822</v>
      </c>
      <c r="BK174" s="87">
        <f t="shared" si="38"/>
        <v>0.10358474682170637</v>
      </c>
      <c r="BL174" s="76"/>
      <c r="BM174" s="77"/>
      <c r="BN174" s="77"/>
      <c r="BO174" s="77"/>
      <c r="BP174" s="77">
        <f>BK174</f>
        <v>0.10358474682170637</v>
      </c>
    </row>
    <row r="175" spans="1:68" ht="15.9" customHeight="1">
      <c r="A175" s="54">
        <v>50</v>
      </c>
      <c r="B175" s="22"/>
      <c r="C175" s="8" t="s">
        <v>105</v>
      </c>
      <c r="D175" s="23"/>
      <c r="E175" s="8" t="s">
        <v>40</v>
      </c>
      <c r="F175" s="188">
        <f>[1]AcreSummary!J52</f>
        <v>0.64295259604337052</v>
      </c>
      <c r="G175" s="25"/>
      <c r="H175" s="117"/>
      <c r="I175" s="57">
        <f>[1]Dry!E52</f>
        <v>20.76</v>
      </c>
      <c r="J175" s="58">
        <f>[1]Dry!F52</f>
        <v>20.21</v>
      </c>
      <c r="K175" s="80">
        <f>[1]Dry!G52</f>
        <v>20.56</v>
      </c>
      <c r="L175" s="68">
        <f>[1]Dry!H52</f>
        <v>21.32</v>
      </c>
      <c r="M175" s="58">
        <f>[1]Dry!I52</f>
        <v>22.53</v>
      </c>
      <c r="N175" s="81">
        <f>[1]Dry!J52</f>
        <v>24.06</v>
      </c>
      <c r="O175" s="62">
        <v>23.95</v>
      </c>
      <c r="P175" s="81">
        <f>[1]Dry!K52</f>
        <v>25.29</v>
      </c>
      <c r="Q175" s="82">
        <f>[1]Dry!L52</f>
        <v>26.9</v>
      </c>
      <c r="R175" s="83">
        <f>Q175*0.95</f>
        <v>25.554999999999996</v>
      </c>
      <c r="S175" s="84">
        <f>[1]Dry!N52</f>
        <v>27.91</v>
      </c>
      <c r="T175" s="66">
        <f>[1]Dry!O52</f>
        <v>28.96</v>
      </c>
      <c r="U175" s="67">
        <f>[1]Dry!P52</f>
        <v>28.9</v>
      </c>
      <c r="V175" s="68">
        <f>[1]Dry!Q52</f>
        <v>26.78</v>
      </c>
      <c r="W175" s="68">
        <f>[1]Dry!R52</f>
        <v>29.08</v>
      </c>
      <c r="X175" s="68">
        <f>[1]Dry!S52</f>
        <v>31.27</v>
      </c>
      <c r="Y175" s="68">
        <f>[1]Dry!T52</f>
        <v>34.68</v>
      </c>
      <c r="Z175" s="68">
        <v>40.35</v>
      </c>
      <c r="AA175" s="68">
        <v>44.47</v>
      </c>
      <c r="AB175" s="68">
        <v>49.1</v>
      </c>
      <c r="AC175" s="68">
        <v>51.9</v>
      </c>
      <c r="AD175" s="68">
        <v>52.71</v>
      </c>
      <c r="AE175" s="68">
        <v>52.55</v>
      </c>
      <c r="AF175" s="68">
        <v>52.64</v>
      </c>
      <c r="AG175" s="69">
        <v>51.69</v>
      </c>
      <c r="AH175" s="70">
        <v>48.58</v>
      </c>
      <c r="AI175" s="70">
        <v>43.35</v>
      </c>
      <c r="AJ175" s="70">
        <v>39.89</v>
      </c>
      <c r="AK175" s="8">
        <f t="shared" si="31"/>
        <v>136</v>
      </c>
      <c r="AL175" s="8">
        <f t="shared" si="32"/>
        <v>138</v>
      </c>
      <c r="AM175" s="85">
        <f t="shared" si="33"/>
        <v>142</v>
      </c>
      <c r="AN175" s="23">
        <f t="shared" si="34"/>
        <v>154</v>
      </c>
      <c r="AO175" s="85">
        <f t="shared" si="29"/>
        <v>171</v>
      </c>
      <c r="AP175" s="72">
        <f t="shared" si="30"/>
        <v>182</v>
      </c>
      <c r="AQ175" s="71">
        <f t="shared" si="35"/>
        <v>193</v>
      </c>
      <c r="AR175" s="71">
        <f t="shared" si="35"/>
        <v>183</v>
      </c>
      <c r="AS175" s="71">
        <f t="shared" si="39"/>
        <v>200</v>
      </c>
      <c r="AT175" s="71">
        <f t="shared" si="40"/>
        <v>207</v>
      </c>
      <c r="AU175" s="71">
        <f t="shared" si="36"/>
        <v>207</v>
      </c>
      <c r="AV175" s="72">
        <f t="shared" si="37"/>
        <v>190</v>
      </c>
      <c r="AW175" s="72">
        <f>ROUND(W175/VLOOKUP($C175,CapRate,13),0)</f>
        <v>207</v>
      </c>
      <c r="AX175" s="72">
        <f>ROUND(X175/VLOOKUP($C175,CapRate,14),0)</f>
        <v>222</v>
      </c>
      <c r="AY175" s="72">
        <f>ROUND(Y175/VLOOKUP($C175,CapRate,15),0)</f>
        <v>246</v>
      </c>
      <c r="AZ175" s="72">
        <f>ROUND(Z175/VLOOKUP($C175,CapRate,16),0)</f>
        <v>286</v>
      </c>
      <c r="BA175" s="72">
        <f>ROUND(AA175/VLOOKUP($C175,CapRate,17),0)</f>
        <v>314</v>
      </c>
      <c r="BB175" s="72">
        <f>ROUND(AB175/VLOOKUP($C175,CapRate,18),0)</f>
        <v>347</v>
      </c>
      <c r="BC175" s="72">
        <f>ROUND(AC175/VLOOKUP($C175,CapRate,19),0)</f>
        <v>366</v>
      </c>
      <c r="BD175" s="72">
        <f>ROUND(AD175/VLOOKUP($C175,CapRate,20),0)</f>
        <v>372</v>
      </c>
      <c r="BE175" s="72">
        <f>ROUND(AE175/VLOOKUP($C175,CapRate,21),0)</f>
        <v>370</v>
      </c>
      <c r="BF175" s="72">
        <f>ROUND(AF175/VLOOKUP($C175,CapRate,22),0)</f>
        <v>371</v>
      </c>
      <c r="BG175" s="72">
        <f>ROUND(AG175/VLOOKUP($C175,CapRate,23),0)</f>
        <v>365</v>
      </c>
      <c r="BH175" s="72">
        <f>ROUND(AH175/VLOOKUP($C175,CapRate,24),0)</f>
        <v>342</v>
      </c>
      <c r="BI175" s="72">
        <f>ROUND(AI175/VLOOKUP($C175,CapRate,25),0)</f>
        <v>305</v>
      </c>
      <c r="BJ175" s="72">
        <f>ROUND(AJ175/VLOOKUP($C175,CapRate,26),0)</f>
        <v>281</v>
      </c>
      <c r="BK175" s="87">
        <f t="shared" si="38"/>
        <v>-7.8688524590163955E-2</v>
      </c>
      <c r="BL175" s="76"/>
      <c r="BM175" s="77"/>
      <c r="BN175" s="77">
        <f>BK175</f>
        <v>-7.8688524590163955E-2</v>
      </c>
      <c r="BO175" s="77"/>
      <c r="BP175" s="77"/>
    </row>
    <row r="176" spans="1:68" ht="15.9" customHeight="1" thickBot="1">
      <c r="A176" s="54">
        <v>50</v>
      </c>
      <c r="B176" s="22"/>
      <c r="C176" s="90" t="s">
        <v>105</v>
      </c>
      <c r="D176" s="91"/>
      <c r="E176" s="90" t="s">
        <v>41</v>
      </c>
      <c r="F176" s="190">
        <f>[1]AcreSummary!K52</f>
        <v>6.7023517498353641E-2</v>
      </c>
      <c r="G176" s="191">
        <f>[1]Irrigated!D59</f>
        <v>100</v>
      </c>
      <c r="H176" s="94">
        <f>[1]Irrigated!E59</f>
        <v>0.63</v>
      </c>
      <c r="I176" s="95"/>
      <c r="J176" s="96">
        <f>[1]Irrigated!H59</f>
        <v>47.3</v>
      </c>
      <c r="K176" s="97">
        <f>[1]Irrigated!I59</f>
        <v>48.44</v>
      </c>
      <c r="L176" s="98">
        <f>[1]Irrigated!J59</f>
        <v>50.35</v>
      </c>
      <c r="M176" s="96">
        <f>[1]Irrigated!K59</f>
        <v>53.05</v>
      </c>
      <c r="N176" s="99">
        <f>[1]Irrigated!L59</f>
        <v>56.22</v>
      </c>
      <c r="O176" s="100">
        <v>51.73</v>
      </c>
      <c r="P176" s="99">
        <f>[1]Irrigated!M59</f>
        <v>57.14</v>
      </c>
      <c r="Q176" s="101">
        <f>[1]Irrigated!N59</f>
        <v>56.48</v>
      </c>
      <c r="R176" s="102">
        <v>56.48</v>
      </c>
      <c r="S176" s="103">
        <f>[1]Irrigated!O59</f>
        <v>55.98</v>
      </c>
      <c r="T176" s="104">
        <f>[1]Irrigated!P59</f>
        <v>55.66</v>
      </c>
      <c r="U176" s="105">
        <f>[1]Irrigated!Q59</f>
        <v>53.4</v>
      </c>
      <c r="V176" s="98">
        <f>[1]Irrigated!R59</f>
        <v>39.35</v>
      </c>
      <c r="W176" s="98">
        <f>[1]Irrigated!S59</f>
        <v>41.74</v>
      </c>
      <c r="X176" s="98">
        <v>45.11</v>
      </c>
      <c r="Y176" s="98">
        <v>51.12</v>
      </c>
      <c r="Z176" s="98">
        <v>57.96</v>
      </c>
      <c r="AA176" s="98">
        <v>63.07</v>
      </c>
      <c r="AB176" s="98">
        <v>71.430000000000007</v>
      </c>
      <c r="AC176" s="98">
        <v>77.260000000000005</v>
      </c>
      <c r="AD176" s="98">
        <v>78.98</v>
      </c>
      <c r="AE176" s="98">
        <v>78.69</v>
      </c>
      <c r="AF176" s="98">
        <v>77.19</v>
      </c>
      <c r="AG176" s="106">
        <v>77.11</v>
      </c>
      <c r="AH176" s="107">
        <v>73.010000000000005</v>
      </c>
      <c r="AI176" s="107">
        <v>65.47</v>
      </c>
      <c r="AJ176" s="107">
        <v>58.8</v>
      </c>
      <c r="AK176" s="90">
        <f t="shared" si="31"/>
        <v>317</v>
      </c>
      <c r="AL176" s="90">
        <f t="shared" si="32"/>
        <v>326</v>
      </c>
      <c r="AM176" s="108">
        <f t="shared" si="33"/>
        <v>335</v>
      </c>
      <c r="AN176" s="91">
        <f t="shared" si="34"/>
        <v>362</v>
      </c>
      <c r="AO176" s="108">
        <f t="shared" si="29"/>
        <v>369</v>
      </c>
      <c r="AP176" s="109">
        <f t="shared" si="30"/>
        <v>412</v>
      </c>
      <c r="AQ176" s="110">
        <f t="shared" si="35"/>
        <v>405</v>
      </c>
      <c r="AR176" s="110">
        <f t="shared" si="35"/>
        <v>405</v>
      </c>
      <c r="AS176" s="110">
        <f t="shared" si="39"/>
        <v>401</v>
      </c>
      <c r="AT176" s="110">
        <f t="shared" si="40"/>
        <v>398</v>
      </c>
      <c r="AU176" s="110">
        <f t="shared" si="36"/>
        <v>382</v>
      </c>
      <c r="AV176" s="109">
        <f t="shared" si="37"/>
        <v>280</v>
      </c>
      <c r="AW176" s="109">
        <f>ROUND(W176/VLOOKUP($C176,CapRate,13),0)</f>
        <v>297</v>
      </c>
      <c r="AX176" s="109">
        <f>ROUND(X176/VLOOKUP($C176,CapRate,14),0)</f>
        <v>320</v>
      </c>
      <c r="AY176" s="109">
        <f>ROUND(Y176/VLOOKUP($C176,CapRate,15),0)</f>
        <v>363</v>
      </c>
      <c r="AZ176" s="109">
        <f>ROUND(Z176/VLOOKUP($C176,CapRate,16),0)</f>
        <v>411</v>
      </c>
      <c r="BA176" s="109">
        <f>ROUND(AA176/VLOOKUP($C176,CapRate,17),0)</f>
        <v>446</v>
      </c>
      <c r="BB176" s="109">
        <f>ROUND(AB176/VLOOKUP($C176,CapRate,18),0)</f>
        <v>504</v>
      </c>
      <c r="BC176" s="109">
        <f>ROUND(AC176/VLOOKUP($C176,CapRate,19),0)</f>
        <v>545</v>
      </c>
      <c r="BD176" s="109">
        <f>ROUND(AD176/VLOOKUP($C176,CapRate,20),0)</f>
        <v>557</v>
      </c>
      <c r="BE176" s="109">
        <f>ROUND(AE176/VLOOKUP($C176,CapRate,21),0)</f>
        <v>555</v>
      </c>
      <c r="BF176" s="109">
        <f>ROUND(AF176/VLOOKUP($C176,CapRate,22),0)</f>
        <v>544</v>
      </c>
      <c r="BG176" s="109">
        <f>ROUND(AG176/VLOOKUP($C176,CapRate,23),0)</f>
        <v>544</v>
      </c>
      <c r="BH176" s="109">
        <f>ROUND(AH176/VLOOKUP($C176,CapRate,24),0)</f>
        <v>515</v>
      </c>
      <c r="BI176" s="109">
        <f>ROUND(AI176/VLOOKUP($C176,CapRate,25),0)</f>
        <v>461</v>
      </c>
      <c r="BJ176" s="109">
        <f>ROUND(AJ176/VLOOKUP($C176,CapRate,26),0)</f>
        <v>414</v>
      </c>
      <c r="BK176" s="193">
        <f t="shared" si="38"/>
        <v>-0.10195227765726678</v>
      </c>
      <c r="BL176" s="114">
        <f>((F173*BK173)+(F174*BK174)+(F175*BK175)+(F176*BK176))</f>
        <v>-4.6371789553582295E-2</v>
      </c>
      <c r="BM176" s="120"/>
      <c r="BN176" s="115"/>
      <c r="BO176" s="115">
        <f>BK176</f>
        <v>-0.10195227765726678</v>
      </c>
      <c r="BP176" s="115"/>
    </row>
    <row r="177" spans="1:70" ht="15.9" customHeight="1" thickTop="1">
      <c r="A177" s="54">
        <v>50</v>
      </c>
      <c r="B177" s="22"/>
      <c r="C177" s="8" t="s">
        <v>106</v>
      </c>
      <c r="D177" s="23" t="s">
        <v>106</v>
      </c>
      <c r="E177" s="8" t="s">
        <v>39</v>
      </c>
      <c r="F177" s="188">
        <f>[1]AcreSummary!M53</f>
        <v>0.26164078599550655</v>
      </c>
      <c r="G177" s="25"/>
      <c r="H177" s="117"/>
      <c r="I177" s="57">
        <f>[1]Native!E51</f>
        <v>10.67</v>
      </c>
      <c r="J177" s="58">
        <f>[1]Native!F51</f>
        <v>6.68</v>
      </c>
      <c r="K177" s="80">
        <f>[1]Native!G51</f>
        <v>7.9489999999999998</v>
      </c>
      <c r="L177" s="68">
        <f>[1]Native!H51</f>
        <v>8.2856000000000005</v>
      </c>
      <c r="M177" s="58">
        <f>[1]Native!I51</f>
        <v>8.6560000000000006</v>
      </c>
      <c r="N177" s="81">
        <f>[1]Native!J51</f>
        <v>9</v>
      </c>
      <c r="O177" s="62">
        <v>8.98</v>
      </c>
      <c r="P177" s="81">
        <f>[1]Native!K51</f>
        <v>8.99</v>
      </c>
      <c r="Q177" s="82">
        <f>[1]Native!L51</f>
        <v>8.9499999999999993</v>
      </c>
      <c r="R177" s="83">
        <v>8.9499999999999993</v>
      </c>
      <c r="S177" s="84">
        <f>[1]Native!M51</f>
        <v>9.01</v>
      </c>
      <c r="T177" s="66">
        <f>[1]Native!N51</f>
        <v>9.01</v>
      </c>
      <c r="U177" s="67">
        <f>[1]Native!O51</f>
        <v>8.83</v>
      </c>
      <c r="V177" s="67">
        <f>[1]Native!P51</f>
        <v>7.34</v>
      </c>
      <c r="W177" s="67">
        <f>[1]Native!Q51</f>
        <v>7.25</v>
      </c>
      <c r="X177" s="68">
        <v>7.91</v>
      </c>
      <c r="Y177" s="68">
        <v>8.5</v>
      </c>
      <c r="Z177" s="68">
        <v>10.119999999999999</v>
      </c>
      <c r="AA177" s="68">
        <v>11.41</v>
      </c>
      <c r="AB177" s="68">
        <v>12.39</v>
      </c>
      <c r="AC177" s="68">
        <v>13.35</v>
      </c>
      <c r="AD177" s="68">
        <v>14.49</v>
      </c>
      <c r="AE177" s="68">
        <v>15.55</v>
      </c>
      <c r="AF177" s="68">
        <v>15.55</v>
      </c>
      <c r="AG177" s="69">
        <v>15.79</v>
      </c>
      <c r="AH177" s="70">
        <v>15.58</v>
      </c>
      <c r="AI177" s="70">
        <v>15.46</v>
      </c>
      <c r="AJ177" s="70">
        <v>16.399999999999999</v>
      </c>
      <c r="AK177" s="8">
        <f t="shared" si="31"/>
        <v>44</v>
      </c>
      <c r="AL177" s="8">
        <f t="shared" si="32"/>
        <v>52</v>
      </c>
      <c r="AM177" s="85">
        <f t="shared" si="33"/>
        <v>54</v>
      </c>
      <c r="AN177" s="23">
        <f t="shared" si="34"/>
        <v>57</v>
      </c>
      <c r="AO177" s="85">
        <f t="shared" si="29"/>
        <v>62</v>
      </c>
      <c r="AP177" s="72">
        <f t="shared" si="30"/>
        <v>62</v>
      </c>
      <c r="AQ177" s="71">
        <f t="shared" si="35"/>
        <v>61</v>
      </c>
      <c r="AR177" s="71">
        <f t="shared" si="35"/>
        <v>61</v>
      </c>
      <c r="AS177" s="71">
        <f t="shared" si="39"/>
        <v>61</v>
      </c>
      <c r="AT177" s="71">
        <f t="shared" si="40"/>
        <v>61</v>
      </c>
      <c r="AU177" s="71">
        <f t="shared" si="36"/>
        <v>60</v>
      </c>
      <c r="AV177" s="72">
        <f t="shared" si="37"/>
        <v>50</v>
      </c>
      <c r="AW177" s="122">
        <f>IF(ROUND(W177/VLOOKUP($C177,CapRate,13),0)&gt;10,W177/VLOOKUP($C177,CapRate,13),10)</f>
        <v>49.11924119241192</v>
      </c>
      <c r="AX177" s="122">
        <f>IF(ROUND(X177/VLOOKUP($C177,CapRate,14),0)&gt;10,X177/VLOOKUP($C177,CapRate,14),10)</f>
        <v>53.554502369668249</v>
      </c>
      <c r="AY177" s="122">
        <f>IF(ROUND(Y177/VLOOKUP($C177,CapRate,15),0)&gt;10,Y177/VLOOKUP($C177,CapRate,15),10)</f>
        <v>57.66621438263229</v>
      </c>
      <c r="AZ177" s="122">
        <f>IF(ROUND(Z177/VLOOKUP($C177,CapRate,16),0)&gt;10,Z177/VLOOKUP($C177,CapRate,16),10)</f>
        <v>68.563685636856363</v>
      </c>
      <c r="BA177" s="122">
        <f>IF(ROUND(AA177/VLOOKUP($C177,CapRate,17),0)&gt;10,AA177/VLOOKUP($C177,CapRate,17),10)</f>
        <v>77.355932203389841</v>
      </c>
      <c r="BB177" s="122">
        <f>IF(ROUND(AB177/VLOOKUP($C177,CapRate,18),0)&gt;10,AB177/VLOOKUP($C177,CapRate,18),10)</f>
        <v>83.490566037735846</v>
      </c>
      <c r="BC177" s="122">
        <f>IF(ROUND(AC177/VLOOKUP($C177,CapRate,19),0)&gt;10,AC177/VLOOKUP($C177,CapRate,19),10)</f>
        <v>89.41728064300068</v>
      </c>
      <c r="BD177" s="122">
        <f>IF(ROUND(AD177/VLOOKUP($C177,CapRate,20),0)&gt;10,AD177/VLOOKUP($C177,CapRate,20),10)</f>
        <v>96.728971962616825</v>
      </c>
      <c r="BE177" s="122">
        <f>IF(ROUND(AE177/VLOOKUP($C177,CapRate,21),0)&gt;10,AE177/VLOOKUP($C177,CapRate,21),10)</f>
        <v>103.80507343124167</v>
      </c>
      <c r="BF177" s="122">
        <f>IF(ROUND(AF177/VLOOKUP($C177,CapRate,22),0)&gt;10,AF177/VLOOKUP($C177,CapRate,22),10)</f>
        <v>103.874415497662</v>
      </c>
      <c r="BG177" s="122">
        <f>IF(ROUND(AG177/VLOOKUP($C177,CapRate,23),0)&gt;10,AG177/VLOOKUP($C177,CapRate,23),10)</f>
        <v>105.4072096128171</v>
      </c>
      <c r="BH177" s="122">
        <f>IF(ROUND(AH177/VLOOKUP($C177,CapRate,24),0)&gt;10,AH177/VLOOKUP($C177,CapRate,24),10)</f>
        <v>104.07481629926519</v>
      </c>
      <c r="BI177" s="122">
        <f>IF(ROUND(AI177/VLOOKUP($C177,CapRate,25),0)&gt;10,AI177/VLOOKUP($C177,CapRate,25),10)</f>
        <v>103.4805890227577</v>
      </c>
      <c r="BJ177" s="122">
        <f>IF(ROUND(AJ177/VLOOKUP($C177,CapRate,26),0)&gt;10,AJ177/VLOOKUP($C177,CapRate,26),10)</f>
        <v>110.73598919648884</v>
      </c>
      <c r="BK177" s="75">
        <f t="shared" si="38"/>
        <v>7.0113634279135306E-2</v>
      </c>
      <c r="BL177" s="76"/>
      <c r="BM177" s="77">
        <f>BK177</f>
        <v>7.0113634279135306E-2</v>
      </c>
      <c r="BN177" s="77"/>
      <c r="BO177" s="77"/>
      <c r="BP177" s="77"/>
    </row>
    <row r="178" spans="1:70" ht="15.9" customHeight="1">
      <c r="A178" s="54"/>
      <c r="B178" s="22"/>
      <c r="C178" s="8" t="s">
        <v>106</v>
      </c>
      <c r="D178" s="23"/>
      <c r="E178" s="8" t="s">
        <v>85</v>
      </c>
      <c r="F178" s="188">
        <f>[1]AcreSummary!L53</f>
        <v>1.1670110993711052E-2</v>
      </c>
      <c r="G178" s="25"/>
      <c r="H178" s="117"/>
      <c r="I178" s="57"/>
      <c r="J178" s="58">
        <f>[1]Tame!D20</f>
        <v>8.6199999999999992</v>
      </c>
      <c r="K178" s="80">
        <f>[1]Tame!E20</f>
        <v>8.3059999999999992</v>
      </c>
      <c r="L178" s="68">
        <f>[1]Tame!F20</f>
        <v>8.1639999999999997</v>
      </c>
      <c r="M178" s="58">
        <f>[1]Tame!G20</f>
        <v>8.07</v>
      </c>
      <c r="N178" s="81">
        <f>[1]Tame!H20</f>
        <v>7.98</v>
      </c>
      <c r="O178" s="62">
        <v>8.14</v>
      </c>
      <c r="P178" s="81">
        <f>[1]Tame!I20</f>
        <v>7.52</v>
      </c>
      <c r="Q178" s="82">
        <f>[1]Tame!J20</f>
        <v>7.06</v>
      </c>
      <c r="R178" s="83">
        <v>7.06</v>
      </c>
      <c r="S178" s="84">
        <f>[1]Tame!K20</f>
        <v>6.35</v>
      </c>
      <c r="T178" s="66">
        <f>[1]Tame!L20</f>
        <v>5.26</v>
      </c>
      <c r="U178" s="67">
        <f>[1]Tame!M20</f>
        <v>5.09</v>
      </c>
      <c r="V178" s="68">
        <f>[1]Tame!N20</f>
        <v>-0.16</v>
      </c>
      <c r="W178" s="68">
        <f>[1]Tame!O20</f>
        <v>-1.25</v>
      </c>
      <c r="X178" s="68">
        <v>-1.17</v>
      </c>
      <c r="Y178" s="68">
        <v>-1.1299999999999999</v>
      </c>
      <c r="Z178" s="68">
        <v>-0.18</v>
      </c>
      <c r="AA178" s="68">
        <v>0.98</v>
      </c>
      <c r="AB178" s="68">
        <v>2.02</v>
      </c>
      <c r="AC178" s="68">
        <v>3.28</v>
      </c>
      <c r="AD178" s="68">
        <v>5.0999999999999996</v>
      </c>
      <c r="AE178" s="68">
        <v>7.37</v>
      </c>
      <c r="AF178" s="68">
        <v>8.1</v>
      </c>
      <c r="AG178" s="69">
        <v>9.18</v>
      </c>
      <c r="AH178" s="70">
        <v>10</v>
      </c>
      <c r="AI178" s="70">
        <v>22.99</v>
      </c>
      <c r="AJ178" s="70">
        <v>24.47</v>
      </c>
      <c r="AK178" s="8">
        <f>ROUND(J178/VLOOKUP($C178,CapRate,2),0)</f>
        <v>57</v>
      </c>
      <c r="AL178" s="8">
        <f>ROUND(K178/VLOOKUP($C178,CapRate,3),0)</f>
        <v>55</v>
      </c>
      <c r="AM178" s="85">
        <f>ROUND(L178/VLOOKUP($C178,CapRate,4),0)</f>
        <v>53</v>
      </c>
      <c r="AN178" s="23">
        <f>ROUND(M178/VLOOKUP($C178,CapRate,5),0)</f>
        <v>53</v>
      </c>
      <c r="AO178" s="85">
        <f t="shared" si="29"/>
        <v>56</v>
      </c>
      <c r="AP178" s="72">
        <f t="shared" si="30"/>
        <v>52</v>
      </c>
      <c r="AQ178" s="71">
        <f t="shared" si="35"/>
        <v>48</v>
      </c>
      <c r="AR178" s="71">
        <f t="shared" si="35"/>
        <v>48</v>
      </c>
      <c r="AS178" s="71">
        <v>0</v>
      </c>
      <c r="AT178" s="71">
        <v>0</v>
      </c>
      <c r="AU178" s="71">
        <v>0</v>
      </c>
      <c r="AV178" s="72">
        <f>IF(ROUND(V178/VLOOKUP($C178,CapRate,12),0)&gt;AV177,V178/VLOOKUP($C178,CapRate,12),AV177)</f>
        <v>50</v>
      </c>
      <c r="AW178" s="72">
        <f>IF(ROUND(W178/VLOOKUP($C178,CapRate,13),0)&gt;AW177,W178/VLOOKUP($C178,CapRate,13),AW177)</f>
        <v>49.11924119241192</v>
      </c>
      <c r="AX178" s="72">
        <f>IF(ROUND(X178/VLOOKUP($C178,CapRate,14),0)&gt;AX177,X178/VLOOKUP($C178,CapRate,14),AX177)</f>
        <v>53.554502369668249</v>
      </c>
      <c r="AY178" s="72">
        <f>IF(ROUND(Y178/VLOOKUP($C178,CapRate,15),0)&gt;AY177,Y178/VLOOKUP($C178,CapRate,15),AY177)</f>
        <v>57.66621438263229</v>
      </c>
      <c r="AZ178" s="72">
        <f>IF(ROUND(Z178/VLOOKUP($C178,CapRate,16),0)&gt;AZ177,Z178/VLOOKUP($C178,CapRate,16),AZ177)</f>
        <v>68.563685636856363</v>
      </c>
      <c r="BA178" s="72">
        <f>IF(ROUND(AA178/VLOOKUP($C178,CapRate,17),0)&gt;BA177,AA178/VLOOKUP($C178,CapRate,17),BA177)</f>
        <v>77.355932203389841</v>
      </c>
      <c r="BB178" s="72">
        <f>IF(ROUND(AB178/VLOOKUP($C178,CapRate,18),0)&gt;BB177,AB178/VLOOKUP($C178,CapRate,18),BB177)</f>
        <v>83.490566037735846</v>
      </c>
      <c r="BC178" s="72">
        <f>IF(ROUND(AC178/VLOOKUP($C178,CapRate,19),0)&gt;BC177,AC178/VLOOKUP($C178,CapRate,19),BC177)</f>
        <v>89.41728064300068</v>
      </c>
      <c r="BD178" s="72">
        <f>IF(ROUND(AD178/VLOOKUP($C178,CapRate,20),0)&gt;BD177,AD178/VLOOKUP($C178,CapRate,20),BD177)</f>
        <v>96.728971962616825</v>
      </c>
      <c r="BE178" s="72">
        <f>IF(ROUND(AE178/VLOOKUP($C178,CapRate,21),0)&gt;BE177,AE178/VLOOKUP($C178,CapRate,21),BE177)</f>
        <v>103.80507343124167</v>
      </c>
      <c r="BF178" s="72">
        <f>IF(ROUND(AF178/VLOOKUP($C178,CapRate,22),0)&gt;BF177,AF178/VLOOKUP($C178,CapRate,22),BF177)</f>
        <v>103.874415497662</v>
      </c>
      <c r="BG178" s="72">
        <f>IF(ROUND(AG178/VLOOKUP($C178,CapRate,23),0)&gt;BG177,AG178/VLOOKUP($C178,CapRate,23),BG177)</f>
        <v>105.4072096128171</v>
      </c>
      <c r="BH178" s="72">
        <f>IF(ROUND(AH178/VLOOKUP($C178,CapRate,24),0)&gt;BH177,AH178/VLOOKUP($C178,CapRate,24),BH177)</f>
        <v>104.07481629926519</v>
      </c>
      <c r="BI178" s="72">
        <f>IF(ROUND(AI178/VLOOKUP($C178,CapRate,25),0)&gt;BI177,AI178/VLOOKUP($C178,CapRate,25),BI177)</f>
        <v>153.88219544846049</v>
      </c>
      <c r="BJ178" s="72">
        <f>IF(ROUND(AJ178/VLOOKUP($C178,CapRate,26),0)&gt;BJ177,AJ178/VLOOKUP($C178,CapRate,26),BJ177)</f>
        <v>165.22619851451719</v>
      </c>
      <c r="BK178" s="87">
        <f t="shared" si="38"/>
        <v>7.3718749807258455E-2</v>
      </c>
      <c r="BL178" s="76"/>
      <c r="BM178" s="77"/>
      <c r="BN178" s="77"/>
      <c r="BO178" s="77"/>
      <c r="BP178" s="77">
        <f>BK178</f>
        <v>7.3718749807258455E-2</v>
      </c>
    </row>
    <row r="179" spans="1:70" ht="15.9" customHeight="1">
      <c r="A179" s="54">
        <v>50</v>
      </c>
      <c r="B179" s="22"/>
      <c r="C179" s="8" t="s">
        <v>106</v>
      </c>
      <c r="D179" s="23"/>
      <c r="E179" s="8" t="s">
        <v>40</v>
      </c>
      <c r="F179" s="188">
        <f>[1]AcreSummary!J53</f>
        <v>0.67436970391095274</v>
      </c>
      <c r="G179" s="25"/>
      <c r="H179" s="117"/>
      <c r="I179" s="57">
        <f>[1]Dry!E53</f>
        <v>18.53</v>
      </c>
      <c r="J179" s="58">
        <f>[1]Dry!F53</f>
        <v>18.16</v>
      </c>
      <c r="K179" s="80">
        <f>[1]Dry!G53</f>
        <v>18.02</v>
      </c>
      <c r="L179" s="68">
        <f>[1]Dry!H53</f>
        <v>18.73</v>
      </c>
      <c r="M179" s="58">
        <f>[1]Dry!I53</f>
        <v>19.940000000000001</v>
      </c>
      <c r="N179" s="81">
        <f>[1]Dry!J53</f>
        <v>21.43</v>
      </c>
      <c r="O179" s="62">
        <v>21.46</v>
      </c>
      <c r="P179" s="81">
        <f>[1]Dry!K53</f>
        <v>23.14</v>
      </c>
      <c r="Q179" s="82">
        <f>[1]Dry!L53</f>
        <v>24.81</v>
      </c>
      <c r="R179" s="83">
        <f>Q179*0.95</f>
        <v>23.569499999999998</v>
      </c>
      <c r="S179" s="84">
        <f>[1]Dry!N53</f>
        <v>26.08</v>
      </c>
      <c r="T179" s="66">
        <f>[1]Dry!O53</f>
        <v>27.38</v>
      </c>
      <c r="U179" s="67">
        <f>[1]Dry!P53</f>
        <v>27.97</v>
      </c>
      <c r="V179" s="68">
        <f>[1]Dry!Q53</f>
        <v>26.73</v>
      </c>
      <c r="W179" s="68">
        <f>[1]Dry!R53</f>
        <v>28.83</v>
      </c>
      <c r="X179" s="68">
        <f>[1]Dry!S53</f>
        <v>31.57</v>
      </c>
      <c r="Y179" s="68">
        <f>[1]Dry!T53</f>
        <v>34.799999999999997</v>
      </c>
      <c r="Z179" s="68">
        <v>38.770000000000003</v>
      </c>
      <c r="AA179" s="68">
        <v>42.98</v>
      </c>
      <c r="AB179" s="68">
        <v>46.96</v>
      </c>
      <c r="AC179" s="68">
        <v>49.93</v>
      </c>
      <c r="AD179" s="68">
        <v>50.78</v>
      </c>
      <c r="AE179" s="68">
        <v>51.1</v>
      </c>
      <c r="AF179" s="68">
        <v>50.9</v>
      </c>
      <c r="AG179" s="69">
        <v>50.29</v>
      </c>
      <c r="AH179" s="70">
        <v>47.45</v>
      </c>
      <c r="AI179" s="70">
        <v>48.15</v>
      </c>
      <c r="AJ179" s="70">
        <v>40.82</v>
      </c>
      <c r="AK179" s="8">
        <f t="shared" si="31"/>
        <v>120</v>
      </c>
      <c r="AL179" s="8">
        <f t="shared" si="32"/>
        <v>119</v>
      </c>
      <c r="AM179" s="85">
        <f t="shared" si="33"/>
        <v>122</v>
      </c>
      <c r="AN179" s="23">
        <f t="shared" si="34"/>
        <v>132</v>
      </c>
      <c r="AO179" s="85">
        <f t="shared" si="29"/>
        <v>148</v>
      </c>
      <c r="AP179" s="72">
        <f t="shared" si="30"/>
        <v>160</v>
      </c>
      <c r="AQ179" s="71">
        <f t="shared" si="35"/>
        <v>170</v>
      </c>
      <c r="AR179" s="71">
        <f t="shared" si="35"/>
        <v>162</v>
      </c>
      <c r="AS179" s="71">
        <f t="shared" si="39"/>
        <v>178</v>
      </c>
      <c r="AT179" s="71">
        <f t="shared" si="40"/>
        <v>186</v>
      </c>
      <c r="AU179" s="71">
        <f t="shared" si="36"/>
        <v>189</v>
      </c>
      <c r="AV179" s="72">
        <f t="shared" si="37"/>
        <v>180</v>
      </c>
      <c r="AW179" s="72">
        <f>ROUND(W179/VLOOKUP($C179,CapRate,13),0)</f>
        <v>195</v>
      </c>
      <c r="AX179" s="72">
        <f>ROUND(X179/VLOOKUP($C179,CapRate,14),0)</f>
        <v>214</v>
      </c>
      <c r="AY179" s="72">
        <f>ROUND(Y179/VLOOKUP($C179,CapRate,15),0)</f>
        <v>236</v>
      </c>
      <c r="AZ179" s="72">
        <f>ROUND(Z179/VLOOKUP($C179,CapRate,16),0)</f>
        <v>263</v>
      </c>
      <c r="BA179" s="72">
        <f>ROUND(AA179/VLOOKUP($C179,CapRate,17),0)</f>
        <v>291</v>
      </c>
      <c r="BB179" s="72">
        <f>ROUND(AB179/VLOOKUP($C179,CapRate,18),0)</f>
        <v>316</v>
      </c>
      <c r="BC179" s="72">
        <f>ROUND(AC179/VLOOKUP($C179,CapRate,19),0)</f>
        <v>334</v>
      </c>
      <c r="BD179" s="72">
        <f>ROUND(AD179/VLOOKUP($C179,CapRate,20),0)</f>
        <v>339</v>
      </c>
      <c r="BE179" s="72">
        <f>ROUND(AE179/VLOOKUP($C179,CapRate,21),0)</f>
        <v>341</v>
      </c>
      <c r="BF179" s="72">
        <f>ROUND(AF179/VLOOKUP($C179,CapRate,22),0)</f>
        <v>340</v>
      </c>
      <c r="BG179" s="72">
        <f>ROUND(AG179/VLOOKUP($C179,CapRate,23),0)</f>
        <v>336</v>
      </c>
      <c r="BH179" s="72">
        <f>ROUND(AH179/VLOOKUP($C179,CapRate,24),0)</f>
        <v>317</v>
      </c>
      <c r="BI179" s="72">
        <f>ROUND(AI179/VLOOKUP($C179,CapRate,25),0)</f>
        <v>322</v>
      </c>
      <c r="BJ179" s="72">
        <f>ROUND(AJ179/VLOOKUP($C179,CapRate,26),0)</f>
        <v>276</v>
      </c>
      <c r="BK179" s="87">
        <f t="shared" si="38"/>
        <v>-0.1428571428571429</v>
      </c>
      <c r="BL179" s="76"/>
      <c r="BM179" s="77"/>
      <c r="BN179" s="77">
        <f>BK179</f>
        <v>-0.1428571428571429</v>
      </c>
      <c r="BO179" s="77"/>
      <c r="BP179" s="77"/>
    </row>
    <row r="180" spans="1:70" ht="15.9" customHeight="1" thickBot="1">
      <c r="A180" s="54">
        <v>50</v>
      </c>
      <c r="B180" s="22"/>
      <c r="C180" s="90" t="s">
        <v>106</v>
      </c>
      <c r="D180" s="91"/>
      <c r="E180" s="90" t="s">
        <v>41</v>
      </c>
      <c r="F180" s="190">
        <f>[1]AcreSummary!K53</f>
        <v>5.2319399099829494E-2</v>
      </c>
      <c r="G180" s="191">
        <f>[1]Irrigated!D60</f>
        <v>100</v>
      </c>
      <c r="H180" s="94">
        <f>[1]Irrigated!E60</f>
        <v>0.99</v>
      </c>
      <c r="I180" s="95"/>
      <c r="J180" s="96">
        <f>[1]Irrigated!H60</f>
        <v>45.56</v>
      </c>
      <c r="K180" s="97">
        <f>[1]Irrigated!I60</f>
        <v>45.25</v>
      </c>
      <c r="L180" s="98">
        <f>[1]Irrigated!J60</f>
        <v>45.62</v>
      </c>
      <c r="M180" s="96">
        <f>[1]Irrigated!K60</f>
        <v>46.73</v>
      </c>
      <c r="N180" s="99">
        <f>[1]Irrigated!L60</f>
        <v>48.2</v>
      </c>
      <c r="O180" s="100">
        <v>46</v>
      </c>
      <c r="P180" s="99">
        <f>[1]Irrigated!M60</f>
        <v>47.46</v>
      </c>
      <c r="Q180" s="101">
        <f>[1]Irrigated!N60</f>
        <v>45.74</v>
      </c>
      <c r="R180" s="102">
        <v>45.74</v>
      </c>
      <c r="S180" s="103">
        <f>[1]Irrigated!O60</f>
        <v>44.2</v>
      </c>
      <c r="T180" s="104">
        <f>[1]Irrigated!P60</f>
        <v>42.5</v>
      </c>
      <c r="U180" s="105">
        <f>[1]Irrigated!Q60</f>
        <v>40.270000000000003</v>
      </c>
      <c r="V180" s="98">
        <f>[1]Irrigated!R60</f>
        <v>25.23</v>
      </c>
      <c r="W180" s="98">
        <f>[1]Irrigated!S60</f>
        <v>26.86</v>
      </c>
      <c r="X180" s="98">
        <v>29.46</v>
      </c>
      <c r="Y180" s="98">
        <v>34.479999999999997</v>
      </c>
      <c r="Z180" s="98">
        <v>39.840000000000003</v>
      </c>
      <c r="AA180" s="98">
        <v>44.78</v>
      </c>
      <c r="AB180" s="98">
        <v>51.53</v>
      </c>
      <c r="AC180" s="98">
        <v>56.14</v>
      </c>
      <c r="AD180" s="98">
        <v>56.86</v>
      </c>
      <c r="AE180" s="98">
        <v>55.8</v>
      </c>
      <c r="AF180" s="98">
        <v>54.71</v>
      </c>
      <c r="AG180" s="106">
        <v>54.16</v>
      </c>
      <c r="AH180" s="107">
        <v>50.02</v>
      </c>
      <c r="AI180" s="107">
        <v>57.98</v>
      </c>
      <c r="AJ180" s="107">
        <v>51.26</v>
      </c>
      <c r="AK180" s="90">
        <f t="shared" si="31"/>
        <v>301</v>
      </c>
      <c r="AL180" s="90">
        <f t="shared" si="32"/>
        <v>298</v>
      </c>
      <c r="AM180" s="108">
        <f t="shared" si="33"/>
        <v>297</v>
      </c>
      <c r="AN180" s="91">
        <f t="shared" si="34"/>
        <v>310</v>
      </c>
      <c r="AO180" s="108">
        <f t="shared" si="29"/>
        <v>317</v>
      </c>
      <c r="AP180" s="109">
        <f t="shared" si="30"/>
        <v>328</v>
      </c>
      <c r="AQ180" s="110">
        <f t="shared" si="35"/>
        <v>314</v>
      </c>
      <c r="AR180" s="110">
        <f t="shared" si="35"/>
        <v>314</v>
      </c>
      <c r="AS180" s="110">
        <f t="shared" si="39"/>
        <v>301</v>
      </c>
      <c r="AT180" s="110">
        <f t="shared" si="40"/>
        <v>289</v>
      </c>
      <c r="AU180" s="110">
        <f t="shared" si="36"/>
        <v>273</v>
      </c>
      <c r="AV180" s="109">
        <f t="shared" si="37"/>
        <v>170</v>
      </c>
      <c r="AW180" s="109">
        <f>ROUND(W180/VLOOKUP($C180,CapRate,13),0)</f>
        <v>182</v>
      </c>
      <c r="AX180" s="109">
        <f>ROUND(X180/VLOOKUP($C180,CapRate,14),0)</f>
        <v>199</v>
      </c>
      <c r="AY180" s="109">
        <f>ROUND(Y180/VLOOKUP($C180,CapRate,15),0)</f>
        <v>234</v>
      </c>
      <c r="AZ180" s="109">
        <f>ROUND(Z180/VLOOKUP($C180,CapRate,16),0)</f>
        <v>270</v>
      </c>
      <c r="BA180" s="109">
        <f>ROUND(AA180/VLOOKUP($C180,CapRate,17),0)</f>
        <v>304</v>
      </c>
      <c r="BB180" s="109">
        <f>ROUND(AB180/VLOOKUP($C180,CapRate,18),0)</f>
        <v>347</v>
      </c>
      <c r="BC180" s="109">
        <f>ROUND(AC180/VLOOKUP($C180,CapRate,19),0)</f>
        <v>376</v>
      </c>
      <c r="BD180" s="109">
        <f>ROUND(AD180/VLOOKUP($C180,CapRate,20),0)</f>
        <v>380</v>
      </c>
      <c r="BE180" s="109">
        <f>ROUND(AE180/VLOOKUP($C180,CapRate,21),0)</f>
        <v>372</v>
      </c>
      <c r="BF180" s="109">
        <f>ROUND(AF180/VLOOKUP($C180,CapRate,22),0)</f>
        <v>365</v>
      </c>
      <c r="BG180" s="109">
        <f>ROUND(AG180/VLOOKUP($C180,CapRate,23),0)</f>
        <v>362</v>
      </c>
      <c r="BH180" s="109">
        <f>ROUND(AH180/VLOOKUP($C180,CapRate,24),0)</f>
        <v>334</v>
      </c>
      <c r="BI180" s="109">
        <f>ROUND(AI180/VLOOKUP($C180,CapRate,25),0)</f>
        <v>388</v>
      </c>
      <c r="BJ180" s="109">
        <f>ROUND(AJ180/VLOOKUP($C180,CapRate,26),0)</f>
        <v>346</v>
      </c>
      <c r="BK180" s="193">
        <f t="shared" si="38"/>
        <v>-0.10824742268041232</v>
      </c>
      <c r="BL180" s="114">
        <f>((F177*BK177)+(F178*BK178)+(F179*BK179)+(F180*BK180))</f>
        <v>-8.2797076864517788E-2</v>
      </c>
      <c r="BM180" s="120"/>
      <c r="BN180" s="115"/>
      <c r="BO180" s="115">
        <f>BK180</f>
        <v>-0.10824742268041232</v>
      </c>
      <c r="BP180" s="115"/>
    </row>
    <row r="181" spans="1:70" ht="15.9" customHeight="1" thickTop="1">
      <c r="A181" s="54">
        <v>50</v>
      </c>
      <c r="B181" s="22"/>
      <c r="C181" s="8" t="s">
        <v>107</v>
      </c>
      <c r="D181" s="23" t="s">
        <v>107</v>
      </c>
      <c r="E181" s="8" t="s">
        <v>39</v>
      </c>
      <c r="F181" s="188">
        <f>[1]AcreSummary!M54</f>
        <v>0.27479413485834958</v>
      </c>
      <c r="G181" s="25"/>
      <c r="H181" s="117"/>
      <c r="I181" s="57">
        <f>[1]Native!E52</f>
        <v>5.81</v>
      </c>
      <c r="J181" s="58">
        <f>[1]Native!F52</f>
        <v>6.0919999999999996</v>
      </c>
      <c r="K181" s="80">
        <f>[1]Native!G52</f>
        <v>6.3630000000000004</v>
      </c>
      <c r="L181" s="68">
        <f>[1]Native!H52</f>
        <v>6.5869999999999997</v>
      </c>
      <c r="M181" s="58">
        <f>[1]Native!I52</f>
        <v>6.8390000000000004</v>
      </c>
      <c r="N181" s="81">
        <f>[1]Native!J52</f>
        <v>7.05</v>
      </c>
      <c r="O181" s="62">
        <v>7.03</v>
      </c>
      <c r="P181" s="81">
        <f>[1]Native!K52</f>
        <v>7</v>
      </c>
      <c r="Q181" s="82">
        <f>[1]Native!L52</f>
        <v>6.91</v>
      </c>
      <c r="R181" s="83">
        <v>6.91</v>
      </c>
      <c r="S181" s="84">
        <f>[1]Native!M52</f>
        <v>6.9</v>
      </c>
      <c r="T181" s="66">
        <f>[1]Native!N52</f>
        <v>6.82</v>
      </c>
      <c r="U181" s="67">
        <f>[1]Native!O52</f>
        <v>6.63</v>
      </c>
      <c r="V181" s="67">
        <f>[1]Native!P52</f>
        <v>3.67</v>
      </c>
      <c r="W181" s="67">
        <f>[1]Native!Q52</f>
        <v>3.03</v>
      </c>
      <c r="X181" s="68">
        <v>3.13</v>
      </c>
      <c r="Y181" s="68">
        <v>3.16</v>
      </c>
      <c r="Z181" s="68">
        <v>4.13</v>
      </c>
      <c r="AA181" s="68">
        <v>4.88</v>
      </c>
      <c r="AB181" s="68">
        <v>5.77</v>
      </c>
      <c r="AC181" s="68">
        <v>6.56</v>
      </c>
      <c r="AD181" s="68">
        <v>7.52</v>
      </c>
      <c r="AE181" s="68">
        <v>8.42</v>
      </c>
      <c r="AF181" s="68">
        <v>8.43</v>
      </c>
      <c r="AG181" s="69">
        <v>8.5399999999999991</v>
      </c>
      <c r="AH181" s="70">
        <v>8.31</v>
      </c>
      <c r="AI181" s="70">
        <v>8.06</v>
      </c>
      <c r="AJ181" s="70">
        <v>8.0500000000000007</v>
      </c>
      <c r="AK181" s="8">
        <f t="shared" si="31"/>
        <v>40</v>
      </c>
      <c r="AL181" s="8">
        <f t="shared" si="32"/>
        <v>42</v>
      </c>
      <c r="AM181" s="85">
        <f t="shared" si="33"/>
        <v>42</v>
      </c>
      <c r="AN181" s="23">
        <f t="shared" si="34"/>
        <v>45</v>
      </c>
      <c r="AO181" s="85">
        <f t="shared" si="29"/>
        <v>47</v>
      </c>
      <c r="AP181" s="72">
        <f t="shared" si="30"/>
        <v>48</v>
      </c>
      <c r="AQ181" s="71">
        <f t="shared" si="35"/>
        <v>47</v>
      </c>
      <c r="AR181" s="71">
        <f t="shared" si="35"/>
        <v>47</v>
      </c>
      <c r="AS181" s="71">
        <f t="shared" si="39"/>
        <v>46</v>
      </c>
      <c r="AT181" s="71">
        <f t="shared" si="40"/>
        <v>46</v>
      </c>
      <c r="AU181" s="71">
        <f t="shared" si="36"/>
        <v>45</v>
      </c>
      <c r="AV181" s="72">
        <f t="shared" si="37"/>
        <v>24</v>
      </c>
      <c r="AW181" s="122">
        <f>IF(ROUND(W181/VLOOKUP($C181,CapRate,13),0)&gt;10,W181/VLOOKUP($C181,CapRate,13),10)</f>
        <v>19.7265625</v>
      </c>
      <c r="AX181" s="122">
        <f>IF(ROUND(X181/VLOOKUP($C181,CapRate,14),0)&gt;10,X181/VLOOKUP($C181,CapRate,14),10)</f>
        <v>20.36434612882238</v>
      </c>
      <c r="AY181" s="122">
        <f>IF(ROUND(Y181/VLOOKUP($C181,CapRate,15),0)&gt;10,Y181/VLOOKUP($C181,CapRate,15),10)</f>
        <v>20.453074433656958</v>
      </c>
      <c r="AZ181" s="122">
        <f>IF(ROUND(Z181/VLOOKUP($C181,CapRate,16),0)&gt;10,Z181/VLOOKUP($C181,CapRate,16),10)</f>
        <v>26.731391585760516</v>
      </c>
      <c r="BA181" s="122">
        <f>IF(ROUND(AA181/VLOOKUP($C181,CapRate,17),0)&gt;10,AA181/VLOOKUP($C181,CapRate,17),10)</f>
        <v>31.402831402831399</v>
      </c>
      <c r="BB181" s="122">
        <f>IF(ROUND(AB181/VLOOKUP($C181,CapRate,18),0)&gt;10,AB181/VLOOKUP($C181,CapRate,18),10)</f>
        <v>36.939820742637643</v>
      </c>
      <c r="BC181" s="122">
        <f>IF(ROUND(AC181/VLOOKUP($C181,CapRate,19),0)&gt;10,AC181/VLOOKUP($C181,CapRate,19),10)</f>
        <v>41.890166028097063</v>
      </c>
      <c r="BD181" s="122">
        <f>IF(ROUND(AD181/VLOOKUP($C181,CapRate,20),0)&gt;10,AD181/VLOOKUP($C181,CapRate,20),10)</f>
        <v>47.867600254614892</v>
      </c>
      <c r="BE181" s="122">
        <f>IF(ROUND(AE181/VLOOKUP($C181,CapRate,21),0)&gt;10,AE181/VLOOKUP($C181,CapRate,21),10)</f>
        <v>53.426395939086298</v>
      </c>
      <c r="BF181" s="122">
        <f>IF(ROUND(AF181/VLOOKUP($C181,CapRate,22),0)&gt;10,AF181/VLOOKUP($C181,CapRate,22),10)</f>
        <v>53.219696969696962</v>
      </c>
      <c r="BG181" s="122">
        <f>IF(ROUND(AG181/VLOOKUP($C181,CapRate,23),0)&gt;10,AG181/VLOOKUP($C181,CapRate,23),10)</f>
        <v>53.643216080401999</v>
      </c>
      <c r="BH181" s="122">
        <f>IF(ROUND(AH181/VLOOKUP($C181,CapRate,24),0)&gt;10,AH181/VLOOKUP($C181,CapRate,24),10)</f>
        <v>52.035065748278022</v>
      </c>
      <c r="BI181" s="122">
        <v>50</v>
      </c>
      <c r="BJ181" s="122">
        <v>50</v>
      </c>
      <c r="BK181" s="75">
        <f t="shared" si="38"/>
        <v>0</v>
      </c>
      <c r="BL181" s="76"/>
      <c r="BM181" s="127">
        <f>BK181</f>
        <v>0</v>
      </c>
      <c r="BN181" s="77"/>
      <c r="BO181" s="77"/>
      <c r="BP181" s="77"/>
    </row>
    <row r="182" spans="1:70" ht="15.9" customHeight="1">
      <c r="A182" s="54"/>
      <c r="B182" s="22"/>
      <c r="C182" s="8" t="s">
        <v>107</v>
      </c>
      <c r="D182" s="23"/>
      <c r="E182" s="8" t="s">
        <v>85</v>
      </c>
      <c r="F182" s="188">
        <f>[1]AcreSummary!L54</f>
        <v>0</v>
      </c>
      <c r="G182" s="25"/>
      <c r="H182" s="117"/>
      <c r="I182" s="57"/>
      <c r="J182" s="58">
        <f>[1]Tame!D21</f>
        <v>0</v>
      </c>
      <c r="K182" s="80">
        <f>[1]Tame!E21</f>
        <v>0</v>
      </c>
      <c r="L182" s="68">
        <f>[1]Tame!F21</f>
        <v>0</v>
      </c>
      <c r="M182" s="58">
        <f>[1]Tame!G21</f>
        <v>0</v>
      </c>
      <c r="N182" s="81">
        <f>[1]Tame!H21</f>
        <v>0</v>
      </c>
      <c r="O182" s="62">
        <v>0</v>
      </c>
      <c r="P182" s="81">
        <f>[1]Tame!I21</f>
        <v>0</v>
      </c>
      <c r="Q182" s="82">
        <f>[1]Tame!J21</f>
        <v>0</v>
      </c>
      <c r="R182" s="83">
        <v>0</v>
      </c>
      <c r="S182" s="84">
        <f>[1]Tame!K21</f>
        <v>0</v>
      </c>
      <c r="T182" s="66">
        <f>[1]Tame!L21</f>
        <v>0</v>
      </c>
      <c r="U182" s="67">
        <f>[1]Tame!M21</f>
        <v>0</v>
      </c>
      <c r="V182" s="68">
        <f>[1]Tame!N21</f>
        <v>-5.12</v>
      </c>
      <c r="W182" s="68">
        <f>[1]Tame!O21</f>
        <v>-6.62</v>
      </c>
      <c r="X182" s="68">
        <v>-6.75</v>
      </c>
      <c r="Y182" s="68">
        <v>-6.91</v>
      </c>
      <c r="Z182" s="68">
        <v>-6.07</v>
      </c>
      <c r="AA182" s="68">
        <v>-5</v>
      </c>
      <c r="AB182" s="68">
        <v>-3.82</v>
      </c>
      <c r="AC182" s="68">
        <v>-2.66</v>
      </c>
      <c r="AD182" s="68">
        <v>-0.74</v>
      </c>
      <c r="AE182" s="68">
        <v>1.54</v>
      </c>
      <c r="AF182" s="68">
        <v>0</v>
      </c>
      <c r="AG182" s="69">
        <v>0</v>
      </c>
      <c r="AH182" s="70">
        <v>0</v>
      </c>
      <c r="AI182" s="70">
        <v>0</v>
      </c>
      <c r="AJ182" s="70">
        <v>0</v>
      </c>
      <c r="AK182" s="8">
        <f>ROUND(J182/VLOOKUP($C182,CapRate,2),0)</f>
        <v>0</v>
      </c>
      <c r="AL182" s="8">
        <f>ROUND(K182/VLOOKUP($C182,CapRate,3),0)</f>
        <v>0</v>
      </c>
      <c r="AM182" s="85">
        <f>ROUND(L182/VLOOKUP($C182,CapRate,4),0)</f>
        <v>0</v>
      </c>
      <c r="AN182" s="23">
        <f>ROUND(M182/VLOOKUP($C182,CapRate,5),0)</f>
        <v>0</v>
      </c>
      <c r="AO182" s="85">
        <f t="shared" si="29"/>
        <v>0</v>
      </c>
      <c r="AP182" s="72">
        <f t="shared" si="30"/>
        <v>0</v>
      </c>
      <c r="AQ182" s="71">
        <f t="shared" si="35"/>
        <v>0</v>
      </c>
      <c r="AR182" s="71">
        <f t="shared" si="35"/>
        <v>0</v>
      </c>
      <c r="AS182" s="71">
        <f t="shared" si="39"/>
        <v>0</v>
      </c>
      <c r="AT182" s="71">
        <f t="shared" si="40"/>
        <v>0</v>
      </c>
      <c r="AU182" s="71">
        <f t="shared" si="36"/>
        <v>0</v>
      </c>
      <c r="AV182" s="72">
        <f>IF(ROUND(V182/VLOOKUP($C182,CapRate,12),0)&gt;AV181,V182/VLOOKUP($C182,CapRate,12),AV181)</f>
        <v>24</v>
      </c>
      <c r="AW182" s="72">
        <f>IF(ROUND(W182/VLOOKUP($C182,CapRate,13),0)&gt;AW181,W182/VLOOKUP($C182,CapRate,13),AW181)</f>
        <v>19.7265625</v>
      </c>
      <c r="AX182" s="72">
        <f>IF(ROUND(X182/VLOOKUP($C182,CapRate,14),0)&gt;AX181,X182/VLOOKUP($C182,CapRate,14),AX181)</f>
        <v>20.36434612882238</v>
      </c>
      <c r="AY182" s="72">
        <f>IF(ROUND(Y182/VLOOKUP($C182,CapRate,15),0)&gt;AY181,Y182/VLOOKUP($C182,CapRate,15),AY181)</f>
        <v>20.453074433656958</v>
      </c>
      <c r="AZ182" s="72">
        <f>IF(ROUND(Z182/VLOOKUP($C182,CapRate,16),0)&gt;AZ181,Z182/VLOOKUP($C182,CapRate,16),AZ181)</f>
        <v>26.731391585760516</v>
      </c>
      <c r="BA182" s="72">
        <f>IF(ROUND(AA182/VLOOKUP($C182,CapRate,17),0)&gt;BA181,AA182/VLOOKUP($C182,CapRate,17),BA181)</f>
        <v>31.402831402831399</v>
      </c>
      <c r="BB182" s="72">
        <f>IF(ROUND(AB182/VLOOKUP($C182,CapRate,18),0)&gt;BB181,AB182/VLOOKUP($C182,CapRate,18),BB181)</f>
        <v>36.939820742637643</v>
      </c>
      <c r="BC182" s="72">
        <f>IF(ROUND(AC182/VLOOKUP($C182,CapRate,19),0)&gt;BC181,AC182/VLOOKUP($C182,CapRate,19),BC181)</f>
        <v>41.890166028097063</v>
      </c>
      <c r="BD182" s="72">
        <f>IF(ROUND(AD182/VLOOKUP($C182,CapRate,20),0)&gt;BD181,AD182/VLOOKUP($C182,CapRate,20),BD181)</f>
        <v>47.867600254614892</v>
      </c>
      <c r="BE182" s="72">
        <f>IF(ROUND(AE182/VLOOKUP($C182,CapRate,21),0)&gt;BE181,AE182/VLOOKUP($C182,CapRate,21),BE181)</f>
        <v>53.426395939086298</v>
      </c>
      <c r="BF182" s="72">
        <f>IF(ROUND(AF182/VLOOKUP($C182,CapRate,22),0)&gt;BF181,AF182/VLOOKUP($C182,CapRate,22),BF181)</f>
        <v>53.219696969696962</v>
      </c>
      <c r="BG182" s="72">
        <f>IF(ROUND(AG182/VLOOKUP($C182,CapRate,23),0)&gt;BG181,AG182/VLOOKUP($C182,CapRate,23),BG181)</f>
        <v>53.643216080401999</v>
      </c>
      <c r="BH182" s="72">
        <f>IF(ROUND(AH182/VLOOKUP($C182,CapRate,24),0)&gt;BH181,AH182/VLOOKUP($C182,CapRate,24),BH181)</f>
        <v>52.035065748278022</v>
      </c>
      <c r="BI182" s="72">
        <f>IF(ROUND(AI182/VLOOKUP($C182,CapRate,25),0)&gt;BI181,AI182/VLOOKUP($C182,CapRate,25),BI181)</f>
        <v>50</v>
      </c>
      <c r="BJ182" s="72">
        <f>IF(ROUND(AJ182/VLOOKUP($C182,CapRate,26),0)&gt;BJ181,AJ182/VLOOKUP($C182,CapRate,26),BJ181)</f>
        <v>50</v>
      </c>
      <c r="BK182" s="87">
        <f t="shared" si="38"/>
        <v>0</v>
      </c>
      <c r="BL182" s="76"/>
      <c r="BM182" s="127"/>
      <c r="BN182" s="77"/>
      <c r="BO182" s="77"/>
      <c r="BP182" s="77">
        <f>BK182</f>
        <v>0</v>
      </c>
    </row>
    <row r="183" spans="1:70" ht="15.9" customHeight="1">
      <c r="A183" s="54">
        <v>50</v>
      </c>
      <c r="B183" s="22"/>
      <c r="C183" s="8" t="s">
        <v>107</v>
      </c>
      <c r="D183" s="23"/>
      <c r="E183" s="8" t="s">
        <v>40</v>
      </c>
      <c r="F183" s="188">
        <f>[1]AcreSummary!J54</f>
        <v>0.70075995811773617</v>
      </c>
      <c r="G183" s="25"/>
      <c r="H183" s="117"/>
      <c r="I183" s="57">
        <f>[1]Dry!E54</f>
        <v>11.28</v>
      </c>
      <c r="J183" s="58">
        <f>[1]Dry!F54</f>
        <v>11.27</v>
      </c>
      <c r="K183" s="80">
        <f>[1]Dry!G54</f>
        <v>10.86</v>
      </c>
      <c r="L183" s="68">
        <f>[1]Dry!H54</f>
        <v>10.82</v>
      </c>
      <c r="M183" s="58">
        <f>[1]Dry!I54</f>
        <v>11.04</v>
      </c>
      <c r="N183" s="81">
        <f>[1]Dry!J54</f>
        <v>11.24</v>
      </c>
      <c r="O183" s="62">
        <v>11.24</v>
      </c>
      <c r="P183" s="81">
        <f>[1]Dry!K54</f>
        <v>11.8</v>
      </c>
      <c r="Q183" s="82">
        <f>[1]Dry!L54</f>
        <v>12.25</v>
      </c>
      <c r="R183" s="83">
        <f>Q183*0.95</f>
        <v>11.637499999999999</v>
      </c>
      <c r="S183" s="84">
        <f>[1]Dry!N54</f>
        <v>12.16</v>
      </c>
      <c r="T183" s="66">
        <f>[1]Dry!O54</f>
        <v>12.11</v>
      </c>
      <c r="U183" s="67">
        <f>[1]Dry!P54</f>
        <v>11.64</v>
      </c>
      <c r="V183" s="68">
        <f>[1]Dry!Q54</f>
        <v>8.99</v>
      </c>
      <c r="W183" s="68">
        <f>[1]Dry!R54</f>
        <v>10.86</v>
      </c>
      <c r="X183" s="68">
        <f>[1]Dry!S54</f>
        <v>13.33</v>
      </c>
      <c r="Y183" s="68">
        <f>[1]Dry!T54</f>
        <v>16.86</v>
      </c>
      <c r="Z183" s="68">
        <v>20.28</v>
      </c>
      <c r="AA183" s="68">
        <v>23.95</v>
      </c>
      <c r="AB183" s="68">
        <v>27.14</v>
      </c>
      <c r="AC183" s="68">
        <v>29.45</v>
      </c>
      <c r="AD183" s="68">
        <v>30.35</v>
      </c>
      <c r="AE183" s="68">
        <v>30.18</v>
      </c>
      <c r="AF183" s="68">
        <v>29.67</v>
      </c>
      <c r="AG183" s="69">
        <v>27.74</v>
      </c>
      <c r="AH183" s="70">
        <v>24.84</v>
      </c>
      <c r="AI183" s="70">
        <v>20.99</v>
      </c>
      <c r="AJ183" s="70">
        <v>18.09</v>
      </c>
      <c r="AK183" s="8">
        <f t="shared" si="31"/>
        <v>74</v>
      </c>
      <c r="AL183" s="8">
        <f t="shared" si="32"/>
        <v>71</v>
      </c>
      <c r="AM183" s="85">
        <f t="shared" si="33"/>
        <v>70</v>
      </c>
      <c r="AN183" s="23">
        <f t="shared" si="34"/>
        <v>72</v>
      </c>
      <c r="AO183" s="85">
        <f t="shared" si="29"/>
        <v>76</v>
      </c>
      <c r="AP183" s="72">
        <f t="shared" si="30"/>
        <v>80</v>
      </c>
      <c r="AQ183" s="71">
        <f t="shared" si="35"/>
        <v>83</v>
      </c>
      <c r="AR183" s="71">
        <f t="shared" si="35"/>
        <v>79</v>
      </c>
      <c r="AS183" s="71">
        <f t="shared" si="39"/>
        <v>82</v>
      </c>
      <c r="AT183" s="71">
        <f t="shared" si="40"/>
        <v>81</v>
      </c>
      <c r="AU183" s="71">
        <f t="shared" si="36"/>
        <v>78</v>
      </c>
      <c r="AV183" s="72">
        <f t="shared" si="37"/>
        <v>59</v>
      </c>
      <c r="AW183" s="72">
        <f>ROUND(W183/VLOOKUP($C183,CapRate,13),0)</f>
        <v>71</v>
      </c>
      <c r="AX183" s="72">
        <f>ROUND(X183/VLOOKUP($C183,CapRate,14),0)</f>
        <v>87</v>
      </c>
      <c r="AY183" s="72">
        <f>ROUND(Y183/VLOOKUP($C183,CapRate,15),0)</f>
        <v>109</v>
      </c>
      <c r="AZ183" s="72">
        <f>ROUND(Z183/VLOOKUP($C183,CapRate,16),0)</f>
        <v>131</v>
      </c>
      <c r="BA183" s="72">
        <f>ROUND(AA183/VLOOKUP($C183,CapRate,17),0)</f>
        <v>154</v>
      </c>
      <c r="BB183" s="72">
        <f>ROUND(AB183/VLOOKUP($C183,CapRate,18),0)</f>
        <v>174</v>
      </c>
      <c r="BC183" s="72">
        <f>ROUND(AC183/VLOOKUP($C183,CapRate,19),0)</f>
        <v>188</v>
      </c>
      <c r="BD183" s="72">
        <f>ROUND(AD183/VLOOKUP($C183,CapRate,20),0)</f>
        <v>193</v>
      </c>
      <c r="BE183" s="72">
        <f>ROUND(AE183/VLOOKUP($C183,CapRate,21),0)</f>
        <v>191</v>
      </c>
      <c r="BF183" s="72">
        <f>ROUND(AF183/VLOOKUP($C183,CapRate,22),0)</f>
        <v>187</v>
      </c>
      <c r="BG183" s="72">
        <f>ROUND(AG183/VLOOKUP($C183,CapRate,23),0)</f>
        <v>174</v>
      </c>
      <c r="BH183" s="72">
        <f>ROUND(AH183/VLOOKUP($C183,CapRate,24),0)</f>
        <v>156</v>
      </c>
      <c r="BI183" s="72">
        <f>ROUND(AI183/VLOOKUP($C183,CapRate,25),0)</f>
        <v>131</v>
      </c>
      <c r="BJ183" s="72">
        <f>ROUND(AJ183/VLOOKUP($C183,CapRate,26),0)</f>
        <v>113</v>
      </c>
      <c r="BK183" s="87">
        <f t="shared" si="38"/>
        <v>-0.13740458015267176</v>
      </c>
      <c r="BL183" s="76"/>
      <c r="BM183" s="77"/>
      <c r="BN183" s="77">
        <f>BK183</f>
        <v>-0.13740458015267176</v>
      </c>
      <c r="BO183" s="77"/>
      <c r="BP183" s="77"/>
    </row>
    <row r="184" spans="1:70" ht="15.9" customHeight="1" thickBot="1">
      <c r="A184" s="54">
        <v>50</v>
      </c>
      <c r="B184" s="22"/>
      <c r="C184" s="90" t="s">
        <v>107</v>
      </c>
      <c r="D184" s="91"/>
      <c r="E184" s="90" t="s">
        <v>41</v>
      </c>
      <c r="F184" s="190">
        <f>[1]AcreSummary!K54</f>
        <v>2.4445907023914359E-2</v>
      </c>
      <c r="G184" s="191">
        <f>[1]Irrigated!D61</f>
        <v>100</v>
      </c>
      <c r="H184" s="94">
        <f>[1]Irrigated!E61</f>
        <v>1</v>
      </c>
      <c r="I184" s="95"/>
      <c r="J184" s="96">
        <f>[1]Irrigated!H61</f>
        <v>51.87</v>
      </c>
      <c r="K184" s="97">
        <f>[1]Irrigated!I61</f>
        <v>51.48</v>
      </c>
      <c r="L184" s="98">
        <f>[1]Irrigated!J61</f>
        <v>51.83</v>
      </c>
      <c r="M184" s="96">
        <f>[1]Irrigated!K61</f>
        <v>52.95</v>
      </c>
      <c r="N184" s="99">
        <f>[1]Irrigated!L61</f>
        <v>54.43</v>
      </c>
      <c r="O184" s="100">
        <v>39.35</v>
      </c>
      <c r="P184" s="99">
        <f>[1]Irrigated!M61</f>
        <v>53.67</v>
      </c>
      <c r="Q184" s="101">
        <f>[1]Irrigated!N61</f>
        <v>51.89</v>
      </c>
      <c r="R184" s="102">
        <v>51.89</v>
      </c>
      <c r="S184" s="103">
        <f>[1]Irrigated!O61</f>
        <v>50.27</v>
      </c>
      <c r="T184" s="104">
        <f>[1]Irrigated!P61</f>
        <v>48.7</v>
      </c>
      <c r="U184" s="105">
        <f>[1]Irrigated!Q61</f>
        <v>46.78</v>
      </c>
      <c r="V184" s="98">
        <f>[1]Irrigated!R61</f>
        <v>39.369999999999997</v>
      </c>
      <c r="W184" s="98">
        <f>[1]Irrigated!S61</f>
        <v>41.78</v>
      </c>
      <c r="X184" s="98">
        <v>45.15</v>
      </c>
      <c r="Y184" s="98">
        <v>51.17</v>
      </c>
      <c r="Z184" s="98">
        <v>58.06</v>
      </c>
      <c r="AA184" s="98">
        <v>63.18</v>
      </c>
      <c r="AB184" s="98">
        <v>71.569999999999993</v>
      </c>
      <c r="AC184" s="98">
        <v>77.42</v>
      </c>
      <c r="AD184" s="98">
        <v>79.16</v>
      </c>
      <c r="AE184" s="98">
        <v>78.89</v>
      </c>
      <c r="AF184" s="98">
        <v>77.23</v>
      </c>
      <c r="AG184" s="106">
        <v>77.150000000000006</v>
      </c>
      <c r="AH184" s="107">
        <v>73.040000000000006</v>
      </c>
      <c r="AI184" s="107">
        <v>65.489999999999995</v>
      </c>
      <c r="AJ184" s="107">
        <v>58.88</v>
      </c>
      <c r="AK184" s="90">
        <f t="shared" si="31"/>
        <v>341</v>
      </c>
      <c r="AL184" s="90">
        <f t="shared" si="32"/>
        <v>336</v>
      </c>
      <c r="AM184" s="108">
        <f t="shared" si="33"/>
        <v>334</v>
      </c>
      <c r="AN184" s="91">
        <f t="shared" si="34"/>
        <v>346</v>
      </c>
      <c r="AO184" s="108">
        <f t="shared" si="29"/>
        <v>265</v>
      </c>
      <c r="AP184" s="109">
        <f t="shared" si="30"/>
        <v>365</v>
      </c>
      <c r="AQ184" s="110">
        <f t="shared" si="35"/>
        <v>350</v>
      </c>
      <c r="AR184" s="110">
        <f t="shared" si="35"/>
        <v>350</v>
      </c>
      <c r="AS184" s="110">
        <f t="shared" si="39"/>
        <v>339</v>
      </c>
      <c r="AT184" s="110">
        <f t="shared" si="40"/>
        <v>327</v>
      </c>
      <c r="AU184" s="110">
        <f t="shared" si="36"/>
        <v>314</v>
      </c>
      <c r="AV184" s="109">
        <f t="shared" si="37"/>
        <v>258</v>
      </c>
      <c r="AW184" s="109">
        <f>ROUND(W184/VLOOKUP($C184,CapRate,13),0)</f>
        <v>272</v>
      </c>
      <c r="AX184" s="109">
        <f>ROUND(X184/VLOOKUP($C184,CapRate,14),0)</f>
        <v>294</v>
      </c>
      <c r="AY184" s="109">
        <f>ROUND(Y184/VLOOKUP($C184,CapRate,15),0)</f>
        <v>331</v>
      </c>
      <c r="AZ184" s="109">
        <f>ROUND(Z184/VLOOKUP($C184,CapRate,16),0)</f>
        <v>376</v>
      </c>
      <c r="BA184" s="109">
        <f>ROUND(AA184/VLOOKUP($C184,CapRate,17),0)</f>
        <v>407</v>
      </c>
      <c r="BB184" s="109">
        <f>ROUND(AB184/VLOOKUP($C184,CapRate,18),0)</f>
        <v>458</v>
      </c>
      <c r="BC184" s="109">
        <f>ROUND(AC184/VLOOKUP($C184,CapRate,19),0)</f>
        <v>494</v>
      </c>
      <c r="BD184" s="109">
        <f>ROUND(AD184/VLOOKUP($C184,CapRate,20),0)</f>
        <v>504</v>
      </c>
      <c r="BE184" s="109">
        <f>ROUND(AE184/VLOOKUP($C184,CapRate,21),0)</f>
        <v>501</v>
      </c>
      <c r="BF184" s="109">
        <f>ROUND(AF184/VLOOKUP($C184,CapRate,22),0)</f>
        <v>488</v>
      </c>
      <c r="BG184" s="109">
        <f>ROUND(AG184/VLOOKUP($C184,CapRate,23),0)</f>
        <v>485</v>
      </c>
      <c r="BH184" s="109">
        <f>ROUND(AH184/VLOOKUP($C184,CapRate,24),0)</f>
        <v>457</v>
      </c>
      <c r="BI184" s="109">
        <f>ROUND(AI184/VLOOKUP($C184,CapRate,25),0)</f>
        <v>409</v>
      </c>
      <c r="BJ184" s="109">
        <f>ROUND(AJ184/VLOOKUP($C184,CapRate,26),0)</f>
        <v>367</v>
      </c>
      <c r="BK184" s="193">
        <f t="shared" si="38"/>
        <v>-0.10268948655256727</v>
      </c>
      <c r="BL184" s="114">
        <f>((F181*BK181)+(F182*BK182)+(F183*BK183)+(F184*BK184))</f>
        <v>-9.8797965473568949E-2</v>
      </c>
      <c r="BM184" s="120"/>
      <c r="BN184" s="115"/>
      <c r="BO184" s="115">
        <f>BK184</f>
        <v>-0.10268948655256727</v>
      </c>
      <c r="BP184" s="115"/>
    </row>
    <row r="185" spans="1:70" ht="15.9" customHeight="1" thickTop="1">
      <c r="A185" s="54">
        <v>50</v>
      </c>
      <c r="B185" s="22"/>
      <c r="C185" s="8" t="s">
        <v>108</v>
      </c>
      <c r="D185" s="23" t="s">
        <v>108</v>
      </c>
      <c r="E185" s="8" t="s">
        <v>39</v>
      </c>
      <c r="F185" s="188">
        <f>[1]AcreSummary!M55</f>
        <v>0.54708986850593666</v>
      </c>
      <c r="G185" s="25"/>
      <c r="H185" s="117"/>
      <c r="I185" s="57">
        <f>[1]Native!E53</f>
        <v>5.6</v>
      </c>
      <c r="J185" s="58">
        <f>[1]Native!F53</f>
        <v>5.7249999999999996</v>
      </c>
      <c r="K185" s="80">
        <f>[1]Native!G53</f>
        <v>5.992</v>
      </c>
      <c r="L185" s="68">
        <f>[1]Native!H53</f>
        <v>6.2110000000000003</v>
      </c>
      <c r="M185" s="58">
        <f>[1]Native!I53</f>
        <v>6.4569999999999999</v>
      </c>
      <c r="N185" s="81">
        <f>[1]Native!J53</f>
        <v>6.67</v>
      </c>
      <c r="O185" s="62">
        <v>6.48</v>
      </c>
      <c r="P185" s="81">
        <f>[1]Native!K53</f>
        <v>6.63</v>
      </c>
      <c r="Q185" s="82">
        <f>[1]Native!L53</f>
        <v>6.54</v>
      </c>
      <c r="R185" s="83">
        <v>6.54</v>
      </c>
      <c r="S185" s="84">
        <f>[1]Native!M53</f>
        <v>6.54</v>
      </c>
      <c r="T185" s="66">
        <f>[1]Native!N53</f>
        <v>6.47</v>
      </c>
      <c r="U185" s="67">
        <f>[1]Native!O53</f>
        <v>6.28</v>
      </c>
      <c r="V185" s="67">
        <f>[1]Native!P53</f>
        <v>3.38</v>
      </c>
      <c r="W185" s="67">
        <f>[1]Native!Q53</f>
        <v>2.71</v>
      </c>
      <c r="X185" s="68">
        <v>2.77</v>
      </c>
      <c r="Y185" s="68">
        <v>2.78</v>
      </c>
      <c r="Z185" s="68">
        <v>3.69</v>
      </c>
      <c r="AA185" s="68">
        <v>4.4000000000000004</v>
      </c>
      <c r="AB185" s="68">
        <v>5.21</v>
      </c>
      <c r="AC185" s="68">
        <v>5.97</v>
      </c>
      <c r="AD185" s="68">
        <v>6.92</v>
      </c>
      <c r="AE185" s="68">
        <v>7.8</v>
      </c>
      <c r="AF185" s="68">
        <v>7.85</v>
      </c>
      <c r="AG185" s="69">
        <v>7.95</v>
      </c>
      <c r="AH185" s="70">
        <v>7.72</v>
      </c>
      <c r="AI185" s="70">
        <v>7.46</v>
      </c>
      <c r="AJ185" s="70">
        <v>7.44</v>
      </c>
      <c r="AK185" s="8">
        <f t="shared" si="31"/>
        <v>38</v>
      </c>
      <c r="AL185" s="8">
        <f t="shared" si="32"/>
        <v>39</v>
      </c>
      <c r="AM185" s="85">
        <f t="shared" si="33"/>
        <v>40</v>
      </c>
      <c r="AN185" s="23">
        <f t="shared" si="34"/>
        <v>42</v>
      </c>
      <c r="AO185" s="85">
        <f t="shared" si="29"/>
        <v>44</v>
      </c>
      <c r="AP185" s="72">
        <f t="shared" si="30"/>
        <v>45</v>
      </c>
      <c r="AQ185" s="71">
        <f t="shared" si="35"/>
        <v>44</v>
      </c>
      <c r="AR185" s="71">
        <f t="shared" si="35"/>
        <v>44</v>
      </c>
      <c r="AS185" s="71">
        <f t="shared" si="39"/>
        <v>43</v>
      </c>
      <c r="AT185" s="71">
        <f t="shared" si="40"/>
        <v>43</v>
      </c>
      <c r="AU185" s="71">
        <f t="shared" si="36"/>
        <v>41</v>
      </c>
      <c r="AV185" s="72">
        <f t="shared" si="37"/>
        <v>22</v>
      </c>
      <c r="AW185" s="72">
        <f>ROUND(W185/VLOOKUP($C185,CapRate,13),0)</f>
        <v>17</v>
      </c>
      <c r="AX185" s="122">
        <f>IF(ROUND(X185/VLOOKUP($C185,CapRate,14),0)&gt;10,X185/VLOOKUP($C185,CapRate,14),10)</f>
        <v>17.710997442455241</v>
      </c>
      <c r="AY185" s="122">
        <f>IF(ROUND(Y185/VLOOKUP($C185,CapRate,15),0)&gt;10,Y185/VLOOKUP($C185,CapRate,15),10)</f>
        <v>17.889317889317887</v>
      </c>
      <c r="AZ185" s="122">
        <f>IF(ROUND(Z185/VLOOKUP($C185,CapRate,16),0)&gt;10,Z185/VLOOKUP($C185,CapRate,16),10)</f>
        <v>23.806451612903224</v>
      </c>
      <c r="BA185" s="122">
        <f>IF(ROUND(AA185/VLOOKUP($C185,CapRate,17),0)&gt;10,AA185/VLOOKUP($C185,CapRate,17),10)</f>
        <v>28.552887735236865</v>
      </c>
      <c r="BB185" s="122">
        <f>IF(ROUND(AB185/VLOOKUP($C185,CapRate,18),0)&gt;10,AB185/VLOOKUP($C185,CapRate,18),10)</f>
        <v>33.80921479558728</v>
      </c>
      <c r="BC185" s="122">
        <f>IF(ROUND(AC185/VLOOKUP($C185,CapRate,19),0)&gt;10,AC185/VLOOKUP($C185,CapRate,19),10)</f>
        <v>38.540994189799868</v>
      </c>
      <c r="BD185" s="122">
        <f>IF(ROUND(AD185/VLOOKUP($C185,CapRate,20),0)&gt;10,AD185/VLOOKUP($C185,CapRate,20),10)</f>
        <v>44.587628865979383</v>
      </c>
      <c r="BE185" s="122">
        <f>IF(ROUND(AE185/VLOOKUP($C185,CapRate,21),0)&gt;10,AE185/VLOOKUP($C185,CapRate,21),10)</f>
        <v>50.160771704180064</v>
      </c>
      <c r="BF185" s="122">
        <f>IF(ROUND(AF185/VLOOKUP($C185,CapRate,22),0)&gt;10,AF185/VLOOKUP($C185,CapRate,22),10)</f>
        <v>50.352790250160353</v>
      </c>
      <c r="BG185" s="122">
        <f>IF(ROUND(AG185/VLOOKUP($C185,CapRate,23),0)&gt;10,AG185/VLOOKUP($C185,CapRate,23),10)</f>
        <v>50.766283524904217</v>
      </c>
      <c r="BH185" s="122">
        <f>IF(ROUND(AH185/VLOOKUP($C185,CapRate,24),0)&gt;10,AH185/VLOOKUP($C185,CapRate,24),10)</f>
        <v>49.04701397712833</v>
      </c>
      <c r="BI185" s="122">
        <v>47</v>
      </c>
      <c r="BJ185" s="122">
        <v>47</v>
      </c>
      <c r="BK185" s="75">
        <f t="shared" si="38"/>
        <v>0</v>
      </c>
      <c r="BL185" s="76"/>
      <c r="BM185" s="77">
        <f>BK185</f>
        <v>0</v>
      </c>
      <c r="BN185" s="77"/>
      <c r="BO185" s="77"/>
      <c r="BP185" s="77"/>
    </row>
    <row r="186" spans="1:70" ht="15.9" customHeight="1">
      <c r="A186" s="54"/>
      <c r="B186" s="22"/>
      <c r="C186" s="8" t="s">
        <v>108</v>
      </c>
      <c r="D186" s="23"/>
      <c r="E186" s="8" t="s">
        <v>85</v>
      </c>
      <c r="F186" s="188">
        <f>[1]AcreSummary!L55</f>
        <v>1.9191337976413459E-3</v>
      </c>
      <c r="G186" s="25"/>
      <c r="H186" s="117"/>
      <c r="I186" s="57"/>
      <c r="J186" s="58">
        <f>[1]Tame!D22</f>
        <v>7.2270000000000003</v>
      </c>
      <c r="K186" s="80">
        <f>[1]Tame!E22</f>
        <v>6.67</v>
      </c>
      <c r="L186" s="68">
        <f>[1]Tame!F22</f>
        <v>6.2519999999999998</v>
      </c>
      <c r="M186" s="58">
        <f>[1]Tame!G22</f>
        <v>5.8630000000000004</v>
      </c>
      <c r="N186" s="81">
        <f>[1]Tame!H22</f>
        <v>5.45</v>
      </c>
      <c r="O186" s="62">
        <v>6.59</v>
      </c>
      <c r="P186" s="81">
        <f>[1]Tame!I22</f>
        <v>4.75</v>
      </c>
      <c r="Q186" s="82">
        <f>[1]Tame!J22</f>
        <v>4.28</v>
      </c>
      <c r="R186" s="83">
        <v>4.28</v>
      </c>
      <c r="S186" s="84">
        <f>[1]Tame!K22</f>
        <v>3.43</v>
      </c>
      <c r="T186" s="66">
        <f>[1]Tame!L22</f>
        <v>1.98</v>
      </c>
      <c r="U186" s="67">
        <f>[1]Tame!M22</f>
        <v>1.77</v>
      </c>
      <c r="V186" s="68">
        <f>[1]Tame!N22</f>
        <v>-3.84</v>
      </c>
      <c r="W186" s="68">
        <f>[1]Tame!O22</f>
        <v>-5.25</v>
      </c>
      <c r="X186" s="68">
        <v>-5.28</v>
      </c>
      <c r="Y186" s="68">
        <v>-5.34</v>
      </c>
      <c r="Z186" s="68">
        <v>-4.33</v>
      </c>
      <c r="AA186" s="68">
        <v>-3.13</v>
      </c>
      <c r="AB186" s="68">
        <v>-1.91</v>
      </c>
      <c r="AC186" s="68">
        <v>-0.63</v>
      </c>
      <c r="AD186" s="68">
        <v>1.4</v>
      </c>
      <c r="AE186" s="68">
        <v>3.84</v>
      </c>
      <c r="AF186" s="68">
        <v>4.84</v>
      </c>
      <c r="AG186" s="69">
        <v>5.9</v>
      </c>
      <c r="AH186" s="70">
        <v>6.71</v>
      </c>
      <c r="AI186" s="70">
        <v>7.19</v>
      </c>
      <c r="AJ186" s="70">
        <v>7.86</v>
      </c>
      <c r="AK186" s="8">
        <f>ROUND(J186/VLOOKUP($C186,CapRate,2),0)</f>
        <v>48</v>
      </c>
      <c r="AL186" s="8">
        <f>ROUND(K186/VLOOKUP($C186,CapRate,3),0)</f>
        <v>44</v>
      </c>
      <c r="AM186" s="85">
        <f>ROUND(L186/VLOOKUP($C186,CapRate,4),0)</f>
        <v>40</v>
      </c>
      <c r="AN186" s="23">
        <f>ROUND(M186/VLOOKUP($C186,CapRate,5),0)</f>
        <v>38</v>
      </c>
      <c r="AO186" s="85">
        <f t="shared" si="29"/>
        <v>44</v>
      </c>
      <c r="AP186" s="72">
        <f t="shared" si="30"/>
        <v>32</v>
      </c>
      <c r="AQ186" s="71">
        <f t="shared" si="35"/>
        <v>29</v>
      </c>
      <c r="AR186" s="71">
        <f t="shared" si="35"/>
        <v>29</v>
      </c>
      <c r="AS186" s="71">
        <v>0</v>
      </c>
      <c r="AT186" s="71">
        <v>0</v>
      </c>
      <c r="AU186" s="71">
        <v>0</v>
      </c>
      <c r="AV186" s="72">
        <f>IF(ROUND(V186/VLOOKUP($C186,CapRate,12),0)&gt;AV185,V186/VLOOKUP($C186,CapRate,12),AV185)</f>
        <v>22</v>
      </c>
      <c r="AW186" s="72">
        <f>IF(ROUND(W186/VLOOKUP($C186,CapRate,13),0)&gt;AW185,W186/VLOOKUP($C186,CapRate,13),AW185)</f>
        <v>17</v>
      </c>
      <c r="AX186" s="72">
        <f>IF(ROUND(X186/VLOOKUP($C186,CapRate,14),0)&gt;AX185,X186/VLOOKUP($C186,CapRate,14),AX185)</f>
        <v>17.710997442455241</v>
      </c>
      <c r="AY186" s="72">
        <f>IF(ROUND(Y186/VLOOKUP($C186,CapRate,15),0)&gt;AY185,Y186/VLOOKUP($C186,CapRate,15),AY185)</f>
        <v>17.889317889317887</v>
      </c>
      <c r="AZ186" s="72">
        <f>IF(ROUND(Z186/VLOOKUP($C186,CapRate,16),0)&gt;AZ185,Z186/VLOOKUP($C186,CapRate,16),AZ185)</f>
        <v>23.806451612903224</v>
      </c>
      <c r="BA186" s="72">
        <f>IF(ROUND(AA186/VLOOKUP($C186,CapRate,17),0)&gt;BA185,AA186/VLOOKUP($C186,CapRate,17),BA185)</f>
        <v>28.552887735236865</v>
      </c>
      <c r="BB186" s="72">
        <f>IF(ROUND(AB186/VLOOKUP($C186,CapRate,18),0)&gt;BB185,AB186/VLOOKUP($C186,CapRate,18),BB185)</f>
        <v>33.80921479558728</v>
      </c>
      <c r="BC186" s="72">
        <f>IF(ROUND(AC186/VLOOKUP($C186,CapRate,19),0)&gt;BC185,AC186/VLOOKUP($C186,CapRate,19),BC185)</f>
        <v>38.540994189799868</v>
      </c>
      <c r="BD186" s="72">
        <f>IF(ROUND(AD186/VLOOKUP($C186,CapRate,20),0)&gt;BD185,AD186/VLOOKUP($C186,CapRate,20),BD185)</f>
        <v>44.587628865979383</v>
      </c>
      <c r="BE186" s="72">
        <f>IF(ROUND(AE186/VLOOKUP($C186,CapRate,21),0)&gt;BE185,AE186/VLOOKUP($C186,CapRate,21),BE185)</f>
        <v>50.160771704180064</v>
      </c>
      <c r="BF186" s="72">
        <f>IF(ROUND(AF186/VLOOKUP($C186,CapRate,22),0)&gt;BF185,AF186/VLOOKUP($C186,CapRate,22),BF185)</f>
        <v>50.352790250160353</v>
      </c>
      <c r="BG186" s="72">
        <f>IF(ROUND(AG186/VLOOKUP($C186,CapRate,23),0)&gt;BG185,AG186/VLOOKUP($C186,CapRate,23),BG185)</f>
        <v>50.766283524904217</v>
      </c>
      <c r="BH186" s="72">
        <f>IF(ROUND(AH186/VLOOKUP($C186,CapRate,24),0)&gt;BH185,AH186/VLOOKUP($C186,CapRate,24),BH185)</f>
        <v>49.04701397712833</v>
      </c>
      <c r="BI186" s="72">
        <f>IF(ROUND(AI186/VLOOKUP($C186,CapRate,25),0)&gt;BI185,AI186/VLOOKUP($C186,CapRate,25),BI185)</f>
        <v>47</v>
      </c>
      <c r="BJ186" s="72">
        <f>IF(ROUND(AJ186/VLOOKUP($C186,CapRate,26),0)&gt;BJ185,AJ186/VLOOKUP($C186,CapRate,26),BJ185)</f>
        <v>49.809885931558938</v>
      </c>
      <c r="BK186" s="87">
        <f t="shared" si="38"/>
        <v>5.9784807054445555E-2</v>
      </c>
      <c r="BL186" s="76"/>
      <c r="BM186" s="77"/>
      <c r="BN186" s="77"/>
      <c r="BO186" s="77"/>
      <c r="BP186" s="77">
        <f>BK186</f>
        <v>5.9784807054445555E-2</v>
      </c>
    </row>
    <row r="187" spans="1:70" ht="15.9" customHeight="1" thickBot="1">
      <c r="A187" s="54">
        <v>50</v>
      </c>
      <c r="B187" s="22"/>
      <c r="C187" s="90" t="s">
        <v>108</v>
      </c>
      <c r="D187" s="91"/>
      <c r="E187" s="90" t="s">
        <v>40</v>
      </c>
      <c r="F187" s="190">
        <f>[1]AcreSummary!J55</f>
        <v>0.45075599408427053</v>
      </c>
      <c r="G187" s="191"/>
      <c r="H187" s="94"/>
      <c r="I187" s="95">
        <f>[1]Dry!E55</f>
        <v>12.91</v>
      </c>
      <c r="J187" s="96">
        <f>[1]Dry!F55</f>
        <v>12.84</v>
      </c>
      <c r="K187" s="97">
        <f>[1]Dry!G55</f>
        <v>12.07</v>
      </c>
      <c r="L187" s="98">
        <f>[1]Dry!H55</f>
        <v>11.78</v>
      </c>
      <c r="M187" s="96">
        <f>[1]Dry!I55</f>
        <v>12.14</v>
      </c>
      <c r="N187" s="99">
        <f>[1]Dry!J55</f>
        <v>12.47</v>
      </c>
      <c r="O187" s="100">
        <v>12.1</v>
      </c>
      <c r="P187" s="99">
        <f>[1]Dry!K55</f>
        <v>13.44</v>
      </c>
      <c r="Q187" s="101">
        <f>[1]Dry!L55</f>
        <v>14.8</v>
      </c>
      <c r="R187" s="83">
        <f>Q187*0.95</f>
        <v>14.06</v>
      </c>
      <c r="S187" s="103">
        <f>[1]Dry!N55</f>
        <v>15.34</v>
      </c>
      <c r="T187" s="104">
        <f>[1]Dry!O55</f>
        <v>16.329999999999998</v>
      </c>
      <c r="U187" s="105">
        <f>[1]Dry!P55</f>
        <v>16.02</v>
      </c>
      <c r="V187" s="98">
        <f>[1]Dry!Q55</f>
        <v>14.83</v>
      </c>
      <c r="W187" s="98">
        <f>[1]Dry!R55</f>
        <v>16.79</v>
      </c>
      <c r="X187" s="98">
        <f>[1]Dry!S55</f>
        <v>19.059999999999999</v>
      </c>
      <c r="Y187" s="98">
        <f>[1]Dry!T55</f>
        <v>22.98</v>
      </c>
      <c r="Z187" s="98">
        <v>27.21</v>
      </c>
      <c r="AA187" s="98">
        <v>31.43</v>
      </c>
      <c r="AB187" s="98">
        <v>35.44</v>
      </c>
      <c r="AC187" s="98">
        <v>38.450000000000003</v>
      </c>
      <c r="AD187" s="98">
        <v>39.96</v>
      </c>
      <c r="AE187" s="98">
        <v>40.18</v>
      </c>
      <c r="AF187" s="98">
        <v>39.39</v>
      </c>
      <c r="AG187" s="106">
        <v>37.33</v>
      </c>
      <c r="AH187" s="107">
        <v>33.67</v>
      </c>
      <c r="AI187" s="107">
        <v>27.41</v>
      </c>
      <c r="AJ187" s="107">
        <v>22.78</v>
      </c>
      <c r="AK187" s="90">
        <f t="shared" si="31"/>
        <v>85</v>
      </c>
      <c r="AL187" s="90">
        <f t="shared" si="32"/>
        <v>79</v>
      </c>
      <c r="AM187" s="108">
        <f t="shared" si="33"/>
        <v>76</v>
      </c>
      <c r="AN187" s="91">
        <f t="shared" si="34"/>
        <v>79</v>
      </c>
      <c r="AO187" s="108">
        <f t="shared" si="29"/>
        <v>81</v>
      </c>
      <c r="AP187" s="109">
        <f t="shared" si="30"/>
        <v>91</v>
      </c>
      <c r="AQ187" s="110">
        <f t="shared" si="35"/>
        <v>99</v>
      </c>
      <c r="AR187" s="110">
        <f t="shared" si="35"/>
        <v>94</v>
      </c>
      <c r="AS187" s="110">
        <f t="shared" si="39"/>
        <v>102</v>
      </c>
      <c r="AT187" s="110">
        <f t="shared" si="40"/>
        <v>107</v>
      </c>
      <c r="AU187" s="110">
        <f t="shared" si="36"/>
        <v>104</v>
      </c>
      <c r="AV187" s="109">
        <f t="shared" si="37"/>
        <v>95</v>
      </c>
      <c r="AW187" s="109">
        <f>ROUND(W187/VLOOKUP($C187,CapRate,13),0)</f>
        <v>107</v>
      </c>
      <c r="AX187" s="109">
        <f>ROUND(X187/VLOOKUP($C187,CapRate,14),0)</f>
        <v>122</v>
      </c>
      <c r="AY187" s="109">
        <f>ROUND(Y187/VLOOKUP($C187,CapRate,15),0)</f>
        <v>148</v>
      </c>
      <c r="AZ187" s="109">
        <f>ROUND(Z187/VLOOKUP($C187,CapRate,16),0)</f>
        <v>176</v>
      </c>
      <c r="BA187" s="109">
        <f>ROUND(AA187/VLOOKUP($C187,CapRate,17),0)</f>
        <v>204</v>
      </c>
      <c r="BB187" s="109">
        <f>ROUND(AB187/VLOOKUP($C187,CapRate,18),0)</f>
        <v>230</v>
      </c>
      <c r="BC187" s="109">
        <f>ROUND(AC187/VLOOKUP($C187,CapRate,19),0)</f>
        <v>248</v>
      </c>
      <c r="BD187" s="109">
        <f>ROUND(AD187/VLOOKUP($C187,CapRate,20),0)</f>
        <v>257</v>
      </c>
      <c r="BE187" s="109">
        <f>ROUND(AE187/VLOOKUP($C187,CapRate,21),0)</f>
        <v>258</v>
      </c>
      <c r="BF187" s="109">
        <f>ROUND(AF187/VLOOKUP($C187,CapRate,22),0)</f>
        <v>253</v>
      </c>
      <c r="BG187" s="109">
        <f>ROUND(AG187/VLOOKUP($C187,CapRate,23),0)</f>
        <v>238</v>
      </c>
      <c r="BH187" s="72">
        <f>ROUND(AH187/VLOOKUP($C187,CapRate,24),0)</f>
        <v>214</v>
      </c>
      <c r="BI187" s="72">
        <f>ROUND(AI187/VLOOKUP($C187,CapRate,25),0)</f>
        <v>173</v>
      </c>
      <c r="BJ187" s="72">
        <f>ROUND(AJ187/VLOOKUP($C187,CapRate,26),0)</f>
        <v>144</v>
      </c>
      <c r="BK187" s="87">
        <f t="shared" si="38"/>
        <v>-0.16763005780346818</v>
      </c>
      <c r="BL187" s="114">
        <f>((F185*BK185)+(F186*BK186)+(F187*BK187))</f>
        <v>-7.5445518299802367E-2</v>
      </c>
      <c r="BM187" s="77"/>
      <c r="BN187" s="77">
        <f>BK187</f>
        <v>-0.16763005780346818</v>
      </c>
      <c r="BO187" s="77"/>
      <c r="BP187" s="77"/>
      <c r="BQ187" s="90"/>
      <c r="BR187" s="192"/>
    </row>
    <row r="188" spans="1:70" ht="15.9" customHeight="1" thickTop="1">
      <c r="A188" s="54">
        <v>50</v>
      </c>
      <c r="B188" s="22"/>
      <c r="C188" s="12" t="s">
        <v>109</v>
      </c>
      <c r="D188" s="13" t="s">
        <v>109</v>
      </c>
      <c r="E188" s="12" t="s">
        <v>39</v>
      </c>
      <c r="F188" s="188">
        <f>[1]AcreSummary!M56</f>
        <v>0.42267448698590826</v>
      </c>
      <c r="G188" s="16"/>
      <c r="H188" s="206"/>
      <c r="I188" s="207">
        <f>[1]Native!E54</f>
        <v>6.51</v>
      </c>
      <c r="J188" s="208">
        <f>[1]Native!F54</f>
        <v>6.1619999999999999</v>
      </c>
      <c r="K188" s="209">
        <f>[1]Native!G54</f>
        <v>6.5380000000000003</v>
      </c>
      <c r="L188" s="210">
        <f>[1]Native!H54</f>
        <v>6.88</v>
      </c>
      <c r="M188" s="208">
        <f>[1]Native!I54</f>
        <v>7.2530000000000001</v>
      </c>
      <c r="N188" s="211">
        <f>[1]Native!J54</f>
        <v>7.6</v>
      </c>
      <c r="O188" s="212">
        <v>7.78</v>
      </c>
      <c r="P188" s="211">
        <f>[1]Native!K54</f>
        <v>7.66</v>
      </c>
      <c r="Q188" s="213">
        <f>[1]Native!L54</f>
        <v>7.69</v>
      </c>
      <c r="R188" s="214">
        <v>7.69</v>
      </c>
      <c r="S188" s="215">
        <f>[1]Native!M54</f>
        <v>7.8</v>
      </c>
      <c r="T188" s="66">
        <f>[1]Native!N54</f>
        <v>7.85</v>
      </c>
      <c r="U188" s="67">
        <f>[1]Native!O54</f>
        <v>8.5299999999999994</v>
      </c>
      <c r="V188" s="67">
        <f>[1]Native!P54</f>
        <v>6.49</v>
      </c>
      <c r="W188" s="67">
        <f>[1]Native!Q54</f>
        <v>6.12</v>
      </c>
      <c r="X188" s="68">
        <v>6.51</v>
      </c>
      <c r="Y188" s="68">
        <v>6.82</v>
      </c>
      <c r="Z188" s="68">
        <v>8.17</v>
      </c>
      <c r="AA188" s="68">
        <v>9.26</v>
      </c>
      <c r="AB188" s="68">
        <v>10.26</v>
      </c>
      <c r="AC188" s="68">
        <v>11.19</v>
      </c>
      <c r="AD188" s="68">
        <v>12.3</v>
      </c>
      <c r="AE188" s="68">
        <v>13.38</v>
      </c>
      <c r="AF188" s="68">
        <v>13.51</v>
      </c>
      <c r="AG188" s="69">
        <v>13.72</v>
      </c>
      <c r="AH188" s="70">
        <v>13.56</v>
      </c>
      <c r="AI188" s="70">
        <v>13.32</v>
      </c>
      <c r="AJ188" s="70">
        <v>13.38</v>
      </c>
      <c r="AK188" s="8">
        <f t="shared" si="31"/>
        <v>43</v>
      </c>
      <c r="AL188" s="8">
        <f t="shared" si="32"/>
        <v>46</v>
      </c>
      <c r="AM188" s="85">
        <f t="shared" si="33"/>
        <v>48</v>
      </c>
      <c r="AN188" s="23">
        <f t="shared" si="34"/>
        <v>52</v>
      </c>
      <c r="AO188" s="85">
        <f t="shared" si="29"/>
        <v>59</v>
      </c>
      <c r="AP188" s="72">
        <f t="shared" si="30"/>
        <v>59</v>
      </c>
      <c r="AQ188" s="71">
        <f t="shared" si="35"/>
        <v>59</v>
      </c>
      <c r="AR188" s="71">
        <f t="shared" si="35"/>
        <v>59</v>
      </c>
      <c r="AS188" s="71">
        <f t="shared" si="39"/>
        <v>60</v>
      </c>
      <c r="AT188" s="71">
        <f t="shared" si="40"/>
        <v>60</v>
      </c>
      <c r="AU188" s="71">
        <f t="shared" si="36"/>
        <v>65</v>
      </c>
      <c r="AV188" s="72">
        <f t="shared" si="37"/>
        <v>48</v>
      </c>
      <c r="AW188" s="72">
        <f>ROUND(W188/VLOOKUP($C188,CapRate,13),0)</f>
        <v>46</v>
      </c>
      <c r="AX188" s="72">
        <f>IF(ROUND(X188/VLOOKUP($C188,CapRate,14),0)&gt;10,X188/VLOOKUP($C188,CapRate,14),10)</f>
        <v>48.293768545994062</v>
      </c>
      <c r="AY188" s="72">
        <f>IF(ROUND(Y188/VLOOKUP($C188,CapRate,15),0)&gt;10,Y188/VLOOKUP($C188,CapRate,15),10)</f>
        <v>50.332103321033209</v>
      </c>
      <c r="AZ188" s="72">
        <f>IF(ROUND(Z188/VLOOKUP($C188,CapRate,16),0)&gt;10,Z188/VLOOKUP($C188,CapRate,16),10)</f>
        <v>60.117733627667405</v>
      </c>
      <c r="BA188" s="72">
        <f>IF(ROUND(AA188/VLOOKUP($C188,CapRate,17),0)&gt;10,AA188/VLOOKUP($C188,CapRate,17),10)</f>
        <v>67.690058479532155</v>
      </c>
      <c r="BB188" s="72">
        <f>IF(ROUND(AB188/VLOOKUP($C188,CapRate,18),0)&gt;10,AB188/VLOOKUP($C188,CapRate,18),10)</f>
        <v>74.563953488372093</v>
      </c>
      <c r="BC188" s="72">
        <f>IF(ROUND(AC188/VLOOKUP($C188,CapRate,19),0)&gt;10,AC188/VLOOKUP($C188,CapRate,19),10)</f>
        <v>81.028240405503254</v>
      </c>
      <c r="BD188" s="72">
        <f>IF(ROUND(AD188/VLOOKUP($C188,CapRate,20),0)&gt;10,AD188/VLOOKUP($C188,CapRate,20),10)</f>
        <v>88.872832369942202</v>
      </c>
      <c r="BE188" s="72">
        <f>IF(ROUND(AE188/VLOOKUP($C188,CapRate,21),0)&gt;10,AE188/VLOOKUP($C188,CapRate,21),10)</f>
        <v>96.328293736501095</v>
      </c>
      <c r="BF188" s="72">
        <f>IF(ROUND(AF188/VLOOKUP($C188,CapRate,22),0)&gt;10,AF188/VLOOKUP($C188,CapRate,22),10)</f>
        <v>96.984924623115575</v>
      </c>
      <c r="BG188" s="72">
        <f>IF(ROUND(AG188/VLOOKUP($C188,CapRate,23),0)&gt;10,AG188/VLOOKUP($C188,CapRate,23),10)</f>
        <v>98.280802292263616</v>
      </c>
      <c r="BH188" s="122">
        <f>IF(ROUND(AH188/VLOOKUP($C188,CapRate,24),0)&gt;10,AH188/VLOOKUP($C188,CapRate,24),10)</f>
        <v>97.065139584824635</v>
      </c>
      <c r="BI188" s="122">
        <v>95</v>
      </c>
      <c r="BJ188" s="122">
        <v>96</v>
      </c>
      <c r="BK188" s="75">
        <f t="shared" si="38"/>
        <v>1.0526315789473717E-2</v>
      </c>
      <c r="BL188" s="76"/>
      <c r="BM188" s="127">
        <f>BK188</f>
        <v>1.0526315789473717E-2</v>
      </c>
      <c r="BN188" s="77"/>
      <c r="BO188" s="77"/>
      <c r="BP188" s="77"/>
    </row>
    <row r="189" spans="1:70" ht="15.9" customHeight="1">
      <c r="A189" s="54"/>
      <c r="B189" s="22"/>
      <c r="C189" s="8" t="s">
        <v>109</v>
      </c>
      <c r="D189" s="23"/>
      <c r="E189" s="8" t="s">
        <v>85</v>
      </c>
      <c r="F189" s="188">
        <f>[1]AcreSummary!L56</f>
        <v>1.0000829262965855E-2</v>
      </c>
      <c r="G189" s="25"/>
      <c r="H189" s="117"/>
      <c r="I189" s="57"/>
      <c r="J189" s="58">
        <f>[1]Tame!D23</f>
        <v>11.635999999999999</v>
      </c>
      <c r="K189" s="80">
        <f>[1]Tame!E23</f>
        <v>11.313000000000001</v>
      </c>
      <c r="L189" s="68">
        <f>[1]Tame!F23</f>
        <v>11.196</v>
      </c>
      <c r="M189" s="58">
        <f>[1]Tame!G23</f>
        <v>11.1457</v>
      </c>
      <c r="N189" s="81">
        <f>[1]Tame!H23</f>
        <v>10.99</v>
      </c>
      <c r="O189" s="62">
        <v>10.99</v>
      </c>
      <c r="P189" s="81">
        <f>[1]Tame!I23</f>
        <v>10.32</v>
      </c>
      <c r="Q189" s="82">
        <f>[1]Tame!J23</f>
        <v>9.73</v>
      </c>
      <c r="R189" s="83">
        <v>9.73</v>
      </c>
      <c r="S189" s="84">
        <f>[1]Tame!K23</f>
        <v>8.8000000000000007</v>
      </c>
      <c r="T189" s="66">
        <f>[1]Tame!L23</f>
        <v>7.4</v>
      </c>
      <c r="U189" s="67">
        <f>[1]Tame!M23</f>
        <v>6.94</v>
      </c>
      <c r="V189" s="68">
        <f>[1]Tame!N23</f>
        <v>1.5</v>
      </c>
      <c r="W189" s="68">
        <f>[1]Tame!O23</f>
        <v>0.41</v>
      </c>
      <c r="X189" s="68">
        <v>0.75</v>
      </c>
      <c r="Y189" s="68">
        <v>1.03</v>
      </c>
      <c r="Z189" s="68">
        <v>2.48</v>
      </c>
      <c r="AA189" s="68">
        <v>4.18</v>
      </c>
      <c r="AB189" s="68">
        <v>5.86</v>
      </c>
      <c r="AC189" s="68">
        <v>7.64</v>
      </c>
      <c r="AD189" s="68">
        <v>10.050000000000001</v>
      </c>
      <c r="AE189" s="68">
        <v>13.09</v>
      </c>
      <c r="AF189" s="68">
        <v>14.62</v>
      </c>
      <c r="AG189" s="69">
        <v>16.25</v>
      </c>
      <c r="AH189" s="70">
        <v>17.489999999999998</v>
      </c>
      <c r="AI189" s="70">
        <v>18.47</v>
      </c>
      <c r="AJ189" s="70">
        <v>19.64</v>
      </c>
      <c r="AK189" s="12">
        <f>ROUND(J189/VLOOKUP($C189,CapRate,2),0)</f>
        <v>81</v>
      </c>
      <c r="AL189" s="12">
        <f>ROUND(K189/VLOOKUP($C189,CapRate,3),0)</f>
        <v>80</v>
      </c>
      <c r="AM189" s="85">
        <f>ROUND(L189/VLOOKUP($C189,CapRate,4),0)</f>
        <v>78</v>
      </c>
      <c r="AN189" s="23">
        <f>ROUND(M189/VLOOKUP($C189,CapRate,5),0)</f>
        <v>80</v>
      </c>
      <c r="AO189" s="85">
        <f t="shared" si="29"/>
        <v>83</v>
      </c>
      <c r="AP189" s="72">
        <f t="shared" si="30"/>
        <v>79</v>
      </c>
      <c r="AQ189" s="71">
        <f t="shared" si="35"/>
        <v>75</v>
      </c>
      <c r="AR189" s="71">
        <f t="shared" si="35"/>
        <v>75</v>
      </c>
      <c r="AS189" s="71">
        <f t="shared" si="39"/>
        <v>68</v>
      </c>
      <c r="AT189" s="71">
        <f t="shared" si="40"/>
        <v>57</v>
      </c>
      <c r="AU189" s="71">
        <f t="shared" si="36"/>
        <v>53</v>
      </c>
      <c r="AV189" s="72">
        <f>IF(ROUND(V189/VLOOKUP($C189,CapRate,12),0)&gt;AV188,V189/VLOOKUP($C189,CapRate,12),AV188)</f>
        <v>48</v>
      </c>
      <c r="AW189" s="72">
        <f>IF(ROUND(W189/VLOOKUP($C189,CapRate,13),0)&gt;AW188,W189/VLOOKUP($C189,CapRate,13),AW188)</f>
        <v>46</v>
      </c>
      <c r="AX189" s="72">
        <f>IF(ROUND(X189/VLOOKUP($C189,CapRate,14),0)&gt;AX188,X189/VLOOKUP($C189,CapRate,14),AX188)</f>
        <v>48.293768545994062</v>
      </c>
      <c r="AY189" s="72">
        <f>IF(ROUND(Y189/VLOOKUP($C189,CapRate,15),0)&gt;AY188,Y189/VLOOKUP($C189,CapRate,15),AY188)</f>
        <v>50.332103321033209</v>
      </c>
      <c r="AZ189" s="72">
        <f>IF(ROUND(Z189/VLOOKUP($C189,CapRate,16),0)&gt;AZ188,Z189/VLOOKUP($C189,CapRate,16),AZ188)</f>
        <v>60.117733627667405</v>
      </c>
      <c r="BA189" s="72">
        <f>IF(ROUND(AA189/VLOOKUP($C189,CapRate,17),0)&gt;BA188,AA189/VLOOKUP($C189,CapRate,17),BA188)</f>
        <v>67.690058479532155</v>
      </c>
      <c r="BB189" s="72">
        <f>IF(ROUND(AB189/VLOOKUP($C189,CapRate,18),0)&gt;BB188,AB189/VLOOKUP($C189,CapRate,18),BB188)</f>
        <v>74.563953488372093</v>
      </c>
      <c r="BC189" s="72">
        <f>IF(ROUND(AC189/VLOOKUP($C189,CapRate,19),0)&gt;BC188,AC189/VLOOKUP($C189,CapRate,19),BC188)</f>
        <v>81.028240405503254</v>
      </c>
      <c r="BD189" s="72">
        <f>IF(ROUND(AD189/VLOOKUP($C189,CapRate,20),0)&gt;BD188,AD189/VLOOKUP($C189,CapRate,20),BD188)</f>
        <v>88.872832369942202</v>
      </c>
      <c r="BE189" s="72">
        <f>IF(ROUND(AE189/VLOOKUP($C189,CapRate,21),0)&gt;BE188,AE189/VLOOKUP($C189,CapRate,21),BE188)</f>
        <v>96.328293736501095</v>
      </c>
      <c r="BF189" s="72">
        <f>IF(ROUND(AF189/VLOOKUP($C189,CapRate,22),0)&gt;BF188,AF189/VLOOKUP($C189,CapRate,22),BF188)</f>
        <v>104.95333811916726</v>
      </c>
      <c r="BG189" s="72">
        <f>IF(ROUND(AG189/VLOOKUP($C189,CapRate,23),0)&gt;BG188,AG189/VLOOKUP($C189,CapRate,23),BG188)</f>
        <v>116.40401146131805</v>
      </c>
      <c r="BH189" s="72">
        <f>IF(ROUND(AH189/VLOOKUP($C189,CapRate,24),0)&gt;BH188,AH189/VLOOKUP($C189,CapRate,24),BH188)</f>
        <v>125.19685039370079</v>
      </c>
      <c r="BI189" s="72">
        <f>IF(ROUND(AI189/VLOOKUP($C189,CapRate,25),0)&gt;BI188,AI189/VLOOKUP($C189,CapRate,25),BI188)</f>
        <v>132.11731044349068</v>
      </c>
      <c r="BJ189" s="72">
        <f>IF(ROUND(AJ189/VLOOKUP($C189,CapRate,26),0)&gt;BJ188,AJ189/VLOOKUP($C189,CapRate,26),BJ188)</f>
        <v>140.38598999285205</v>
      </c>
      <c r="BK189" s="87">
        <f t="shared" si="38"/>
        <v>6.2585890687640422E-2</v>
      </c>
      <c r="BL189" s="76"/>
      <c r="BM189" s="77"/>
      <c r="BN189" s="77"/>
      <c r="BO189" s="77"/>
      <c r="BP189" s="77">
        <f>BK189</f>
        <v>6.2585890687640422E-2</v>
      </c>
    </row>
    <row r="190" spans="1:70" ht="15.9" customHeight="1">
      <c r="A190" s="54">
        <v>50</v>
      </c>
      <c r="B190" s="22"/>
      <c r="C190" s="8" t="s">
        <v>109</v>
      </c>
      <c r="D190" s="23"/>
      <c r="E190" s="8" t="s">
        <v>40</v>
      </c>
      <c r="F190" s="188">
        <f>[1]AcreSummary!J56</f>
        <v>0.55381290595911647</v>
      </c>
      <c r="G190" s="25"/>
      <c r="H190" s="117"/>
      <c r="I190" s="57">
        <f>[1]Dry!E56</f>
        <v>18.39</v>
      </c>
      <c r="J190" s="58">
        <f>[1]Dry!F56</f>
        <v>18.53</v>
      </c>
      <c r="K190" s="80">
        <f>[1]Dry!G56</f>
        <v>18.239999999999998</v>
      </c>
      <c r="L190" s="68">
        <f>[1]Dry!H56</f>
        <v>18.71</v>
      </c>
      <c r="M190" s="58">
        <f>[1]Dry!I56</f>
        <v>19.760000000000002</v>
      </c>
      <c r="N190" s="81">
        <f>[1]Dry!J56</f>
        <v>21.02</v>
      </c>
      <c r="O190" s="62">
        <v>20.95</v>
      </c>
      <c r="P190" s="81">
        <f>[1]Dry!K56</f>
        <v>22.65</v>
      </c>
      <c r="Q190" s="82">
        <f>[1]Dry!L56</f>
        <v>24.85</v>
      </c>
      <c r="R190" s="83">
        <f>Q190*0.95</f>
        <v>23.607500000000002</v>
      </c>
      <c r="S190" s="84">
        <f>[1]Dry!N56</f>
        <v>26.42</v>
      </c>
      <c r="T190" s="66">
        <f>[1]Dry!O56</f>
        <v>28.18</v>
      </c>
      <c r="U190" s="67">
        <f>[1]Dry!P56</f>
        <v>29.06</v>
      </c>
      <c r="V190" s="68">
        <f>[1]Dry!Q56</f>
        <v>28</v>
      </c>
      <c r="W190" s="68">
        <f>[1]Dry!R56</f>
        <v>30.26</v>
      </c>
      <c r="X190" s="68">
        <f>[1]Dry!S56</f>
        <v>32.51</v>
      </c>
      <c r="Y190" s="68">
        <f>[1]Dry!T56</f>
        <v>35.5</v>
      </c>
      <c r="Z190" s="68">
        <v>39.630000000000003</v>
      </c>
      <c r="AA190" s="68">
        <v>43.78</v>
      </c>
      <c r="AB190" s="68">
        <v>48.37</v>
      </c>
      <c r="AC190" s="68">
        <v>51.85</v>
      </c>
      <c r="AD190" s="68">
        <v>52.95</v>
      </c>
      <c r="AE190" s="68">
        <v>53.29</v>
      </c>
      <c r="AF190" s="68">
        <v>53.41</v>
      </c>
      <c r="AG190" s="69">
        <v>53.01</v>
      </c>
      <c r="AH190" s="70">
        <v>49.94</v>
      </c>
      <c r="AI190" s="70">
        <v>44.97</v>
      </c>
      <c r="AJ190" s="70">
        <v>41.11</v>
      </c>
      <c r="AK190" s="8">
        <f t="shared" si="31"/>
        <v>129</v>
      </c>
      <c r="AL190" s="8">
        <f t="shared" si="32"/>
        <v>128</v>
      </c>
      <c r="AM190" s="85">
        <f t="shared" si="33"/>
        <v>131</v>
      </c>
      <c r="AN190" s="23">
        <f t="shared" si="34"/>
        <v>143</v>
      </c>
      <c r="AO190" s="85">
        <f t="shared" si="29"/>
        <v>159</v>
      </c>
      <c r="AP190" s="72">
        <f t="shared" si="30"/>
        <v>174</v>
      </c>
      <c r="AQ190" s="71">
        <f t="shared" si="35"/>
        <v>191</v>
      </c>
      <c r="AR190" s="71">
        <f t="shared" si="35"/>
        <v>181</v>
      </c>
      <c r="AS190" s="71">
        <f t="shared" si="39"/>
        <v>203</v>
      </c>
      <c r="AT190" s="71">
        <f t="shared" si="40"/>
        <v>216</v>
      </c>
      <c r="AU190" s="71">
        <f t="shared" si="36"/>
        <v>222</v>
      </c>
      <c r="AV190" s="72">
        <f t="shared" si="37"/>
        <v>209</v>
      </c>
      <c r="AW190" s="72">
        <f>ROUND(W190/VLOOKUP($C190,CapRate,13),0)</f>
        <v>225</v>
      </c>
      <c r="AX190" s="72">
        <f>ROUND(X190/VLOOKUP($C190,CapRate,14),0)</f>
        <v>241</v>
      </c>
      <c r="AY190" s="72">
        <f>ROUND(Y190/VLOOKUP($C190,CapRate,15),0)</f>
        <v>262</v>
      </c>
      <c r="AZ190" s="72">
        <f>ROUND(Z190/VLOOKUP($C190,CapRate,16),0)</f>
        <v>292</v>
      </c>
      <c r="BA190" s="72">
        <f>ROUND(AA190/VLOOKUP($C190,CapRate,17),0)</f>
        <v>320</v>
      </c>
      <c r="BB190" s="72">
        <f>ROUND(AB190/VLOOKUP($C190,CapRate,18),0)</f>
        <v>352</v>
      </c>
      <c r="BC190" s="72">
        <f>ROUND(AC190/VLOOKUP($C190,CapRate,19),0)</f>
        <v>375</v>
      </c>
      <c r="BD190" s="72">
        <f>ROUND(AD190/VLOOKUP($C190,CapRate,20),0)</f>
        <v>383</v>
      </c>
      <c r="BE190" s="72">
        <f>ROUND(AE190/VLOOKUP($C190,CapRate,21),0)</f>
        <v>384</v>
      </c>
      <c r="BF190" s="72">
        <f>ROUND(AF190/VLOOKUP($C190,CapRate,22),0)</f>
        <v>383</v>
      </c>
      <c r="BG190" s="72">
        <f>ROUND(AG190/VLOOKUP($C190,CapRate,23),0)</f>
        <v>380</v>
      </c>
      <c r="BH190" s="72">
        <f>ROUND(AH190/VLOOKUP($C190,CapRate,24),0)</f>
        <v>357</v>
      </c>
      <c r="BI190" s="72">
        <f>ROUND(AI190/VLOOKUP($C190,CapRate,25),0)</f>
        <v>322</v>
      </c>
      <c r="BJ190" s="72">
        <f>ROUND(AJ190/VLOOKUP($C190,CapRate,26),0)</f>
        <v>294</v>
      </c>
      <c r="BK190" s="87">
        <f t="shared" si="38"/>
        <v>-8.6956521739130488E-2</v>
      </c>
      <c r="BL190" s="76"/>
      <c r="BM190" s="77"/>
      <c r="BN190" s="77">
        <f>BK190</f>
        <v>-8.6956521739130488E-2</v>
      </c>
      <c r="BO190" s="77"/>
      <c r="BP190" s="77"/>
    </row>
    <row r="191" spans="1:70" ht="15.9" customHeight="1" thickBot="1">
      <c r="A191" s="54">
        <v>50</v>
      </c>
      <c r="B191" s="194"/>
      <c r="C191" s="90" t="s">
        <v>109</v>
      </c>
      <c r="D191" s="195"/>
      <c r="E191" s="132" t="s">
        <v>41</v>
      </c>
      <c r="F191" s="196">
        <f>[1]AcreSummary!K56</f>
        <v>1.3511777792009355E-2</v>
      </c>
      <c r="G191" s="197">
        <f>[1]Irrigated!D62</f>
        <v>100</v>
      </c>
      <c r="H191" s="135">
        <f>[1]Irrigated!E62</f>
        <v>1</v>
      </c>
      <c r="I191" s="136"/>
      <c r="J191" s="137">
        <f>[1]Irrigated!H62</f>
        <v>52.76</v>
      </c>
      <c r="K191" s="138">
        <f>[1]Irrigated!I62</f>
        <v>52.99</v>
      </c>
      <c r="L191" s="139">
        <f>[1]Irrigated!J62</f>
        <v>53.99</v>
      </c>
      <c r="M191" s="137">
        <f>[1]Irrigated!K62</f>
        <v>55.78</v>
      </c>
      <c r="N191" s="140">
        <f>[1]Irrigated!L62</f>
        <v>57.99</v>
      </c>
      <c r="O191" s="141">
        <v>56.18</v>
      </c>
      <c r="P191" s="140">
        <f>[1]Irrigated!M62</f>
        <v>57.94</v>
      </c>
      <c r="Q191" s="142">
        <f>[1]Irrigated!N62</f>
        <v>56.34</v>
      </c>
      <c r="R191" s="143">
        <v>56.34</v>
      </c>
      <c r="S191" s="144">
        <f>[1]Irrigated!O62</f>
        <v>54.89</v>
      </c>
      <c r="T191" s="145">
        <f>[1]Irrigated!P62</f>
        <v>53.57</v>
      </c>
      <c r="U191" s="146">
        <f>[1]Irrigated!Q62</f>
        <v>51.84</v>
      </c>
      <c r="V191" s="139">
        <f>[1]Irrigated!R62</f>
        <v>38.119999999999997</v>
      </c>
      <c r="W191" s="139">
        <f>[1]Irrigated!S62</f>
        <v>40.46</v>
      </c>
      <c r="X191" s="139">
        <v>43.78</v>
      </c>
      <c r="Y191" s="139">
        <v>49.72</v>
      </c>
      <c r="Z191" s="139">
        <v>56.48</v>
      </c>
      <c r="AA191" s="139">
        <v>61.5</v>
      </c>
      <c r="AB191" s="139">
        <v>68.58</v>
      </c>
      <c r="AC191" s="139">
        <v>74.25</v>
      </c>
      <c r="AD191" s="139">
        <v>75.84</v>
      </c>
      <c r="AE191" s="139">
        <v>75.459999999999994</v>
      </c>
      <c r="AF191" s="139">
        <v>73.77</v>
      </c>
      <c r="AG191" s="147">
        <v>73.62</v>
      </c>
      <c r="AH191" s="149">
        <v>69.510000000000005</v>
      </c>
      <c r="AI191" s="149">
        <v>62</v>
      </c>
      <c r="AJ191" s="149">
        <v>55.34</v>
      </c>
      <c r="AK191" s="90">
        <f t="shared" si="31"/>
        <v>368</v>
      </c>
      <c r="AL191" s="90">
        <f t="shared" si="32"/>
        <v>372</v>
      </c>
      <c r="AM191" s="108">
        <f t="shared" si="33"/>
        <v>378</v>
      </c>
      <c r="AN191" s="91">
        <f t="shared" si="34"/>
        <v>402</v>
      </c>
      <c r="AO191" s="108">
        <f t="shared" si="29"/>
        <v>425</v>
      </c>
      <c r="AP191" s="109">
        <f t="shared" si="30"/>
        <v>446</v>
      </c>
      <c r="AQ191" s="110">
        <f t="shared" si="35"/>
        <v>432</v>
      </c>
      <c r="AR191" s="110">
        <f t="shared" si="35"/>
        <v>432</v>
      </c>
      <c r="AS191" s="110">
        <f t="shared" si="39"/>
        <v>422</v>
      </c>
      <c r="AT191" s="110">
        <f t="shared" si="40"/>
        <v>411</v>
      </c>
      <c r="AU191" s="110">
        <f t="shared" si="36"/>
        <v>396</v>
      </c>
      <c r="AV191" s="109">
        <f t="shared" si="37"/>
        <v>284</v>
      </c>
      <c r="AW191" s="109">
        <f>ROUND(W191/VLOOKUP($C191,CapRate,13),0)</f>
        <v>301</v>
      </c>
      <c r="AX191" s="109">
        <f>ROUND(X191/VLOOKUP($C191,CapRate,14),0)</f>
        <v>325</v>
      </c>
      <c r="AY191" s="109">
        <f>ROUND(Y191/VLOOKUP($C191,CapRate,15),0)</f>
        <v>367</v>
      </c>
      <c r="AZ191" s="109">
        <f>ROUND(Z191/VLOOKUP($C191,CapRate,16),0)</f>
        <v>416</v>
      </c>
      <c r="BA191" s="109">
        <f>ROUND(AA191/VLOOKUP($C191,CapRate,17),0)</f>
        <v>450</v>
      </c>
      <c r="BB191" s="109">
        <f>ROUND(AB191/VLOOKUP($C191,CapRate,18),0)</f>
        <v>498</v>
      </c>
      <c r="BC191" s="109">
        <f>ROUND(AC191/VLOOKUP($C191,CapRate,19),0)</f>
        <v>538</v>
      </c>
      <c r="BD191" s="109">
        <f>ROUND(AD191/VLOOKUP($C191,CapRate,20),0)</f>
        <v>548</v>
      </c>
      <c r="BE191" s="199">
        <f>ROUND(AE191/VLOOKUP($C191,CapRate,21),0)</f>
        <v>543</v>
      </c>
      <c r="BF191" s="199">
        <f>ROUND(AF191/VLOOKUP($C191,CapRate,22),0)</f>
        <v>530</v>
      </c>
      <c r="BG191" s="199">
        <f>ROUND(AG191/VLOOKUP($C191,CapRate,23),0)</f>
        <v>527</v>
      </c>
      <c r="BH191" s="155">
        <f>ROUND(AH191/VLOOKUP($C191,CapRate,24),0)</f>
        <v>498</v>
      </c>
      <c r="BI191" s="155">
        <f>ROUND(AI191/VLOOKUP($C191,CapRate,25),0)</f>
        <v>443</v>
      </c>
      <c r="BJ191" s="155">
        <f>ROUND(AJ191/VLOOKUP($C191,CapRate,26),0)</f>
        <v>396</v>
      </c>
      <c r="BK191" s="193">
        <f t="shared" si="38"/>
        <v>-0.10609480812641081</v>
      </c>
      <c r="BL191" s="200">
        <f>((F188*BK188)+(F189*BK189)+(F190*BK190)+(F191*BK191))</f>
        <v>-4.4516057535529667E-2</v>
      </c>
      <c r="BM191" s="120"/>
      <c r="BN191" s="115"/>
      <c r="BO191" s="115">
        <f>BK191</f>
        <v>-0.10609480812641081</v>
      </c>
      <c r="BP191" s="115"/>
    </row>
    <row r="192" spans="1:70" ht="15.9" customHeight="1" thickTop="1">
      <c r="A192" s="8" t="s">
        <v>110</v>
      </c>
      <c r="B192" s="22" t="s">
        <v>111</v>
      </c>
      <c r="C192" s="8" t="s">
        <v>112</v>
      </c>
      <c r="D192" s="23" t="s">
        <v>112</v>
      </c>
      <c r="E192" s="8" t="s">
        <v>39</v>
      </c>
      <c r="F192" s="188">
        <f>[1]AcreSummary!M57</f>
        <v>0.72875124616143516</v>
      </c>
      <c r="G192" s="25"/>
      <c r="H192" s="117"/>
      <c r="I192" s="57">
        <f>[1]Native!E55</f>
        <v>5.81</v>
      </c>
      <c r="J192" s="58">
        <f>[1]Native!F55</f>
        <v>5.54</v>
      </c>
      <c r="K192" s="59">
        <f>[1]Native!G55</f>
        <v>5.4370000000000003</v>
      </c>
      <c r="L192" s="60">
        <f>[1]Native!H55</f>
        <v>5.5069999999999997</v>
      </c>
      <c r="M192" s="61">
        <f>[1]Native!I55</f>
        <v>5.6768000000000001</v>
      </c>
      <c r="N192" s="62">
        <f>[1]Native!J55</f>
        <v>5.7</v>
      </c>
      <c r="O192" s="62">
        <v>5.72</v>
      </c>
      <c r="P192" s="62">
        <f>[1]Native!K55</f>
        <v>5.73</v>
      </c>
      <c r="Q192" s="63">
        <f>[1]Native!L55</f>
        <v>5.77</v>
      </c>
      <c r="R192" s="64">
        <v>5.77</v>
      </c>
      <c r="S192" s="65">
        <f>[1]Native!M55</f>
        <v>5.93</v>
      </c>
      <c r="T192" s="66">
        <f>[1]Native!N55</f>
        <v>6.02</v>
      </c>
      <c r="U192" s="67">
        <f>[1]Native!O55</f>
        <v>6.16</v>
      </c>
      <c r="V192" s="67">
        <f>[1]Native!P55</f>
        <v>2.79</v>
      </c>
      <c r="W192" s="67">
        <f>[1]Native!Q55</f>
        <v>1.55</v>
      </c>
      <c r="X192" s="68">
        <v>0.97</v>
      </c>
      <c r="Y192" s="68">
        <v>0.42</v>
      </c>
      <c r="Z192" s="68">
        <v>0.7</v>
      </c>
      <c r="AA192" s="68">
        <v>0.89</v>
      </c>
      <c r="AB192" s="68">
        <v>1.1299999999999999</v>
      </c>
      <c r="AC192" s="68">
        <v>1.52</v>
      </c>
      <c r="AD192" s="68">
        <v>2.4900000000000002</v>
      </c>
      <c r="AE192" s="68">
        <v>3.55</v>
      </c>
      <c r="AF192" s="68">
        <v>3.9</v>
      </c>
      <c r="AG192" s="69">
        <v>4.28</v>
      </c>
      <c r="AH192" s="70">
        <v>4.6500000000000004</v>
      </c>
      <c r="AI192" s="203">
        <v>4.8600000000000003</v>
      </c>
      <c r="AJ192" s="70">
        <v>5.04</v>
      </c>
      <c r="AK192" s="8">
        <f t="shared" si="31"/>
        <v>37</v>
      </c>
      <c r="AL192" s="8">
        <f t="shared" si="32"/>
        <v>36</v>
      </c>
      <c r="AM192" s="71">
        <f t="shared" si="33"/>
        <v>36</v>
      </c>
      <c r="AN192" s="72">
        <f t="shared" si="34"/>
        <v>38</v>
      </c>
      <c r="AO192" s="71">
        <f t="shared" si="29"/>
        <v>39</v>
      </c>
      <c r="AP192" s="72">
        <f t="shared" si="30"/>
        <v>40</v>
      </c>
      <c r="AQ192" s="71">
        <f t="shared" si="35"/>
        <v>40</v>
      </c>
      <c r="AR192" s="71">
        <f t="shared" si="35"/>
        <v>40</v>
      </c>
      <c r="AS192" s="71">
        <f t="shared" si="39"/>
        <v>41</v>
      </c>
      <c r="AT192" s="71">
        <f t="shared" si="40"/>
        <v>41</v>
      </c>
      <c r="AU192" s="71">
        <f t="shared" si="36"/>
        <v>42</v>
      </c>
      <c r="AV192" s="72">
        <f t="shared" si="37"/>
        <v>19</v>
      </c>
      <c r="AW192" s="72">
        <f>ROUND(W192/VLOOKUP($C192,CapRate,13),0)</f>
        <v>11</v>
      </c>
      <c r="AX192" s="122">
        <f>IF(ROUND(X192/VLOOKUP($C192,CapRate,14),0)&gt;10,X192/VLOOKUP($C192,CapRate,14),10)</f>
        <v>10</v>
      </c>
      <c r="AY192" s="122">
        <f>IF(ROUND(Y192/VLOOKUP($C192,CapRate,15),0)&gt;10,Y192/VLOOKUP($C192,CapRate,15),10)</f>
        <v>10</v>
      </c>
      <c r="AZ192" s="122">
        <f>IF(ROUND(Z192/VLOOKUP($C192,CapRate,16),0)&gt;10,Z192/VLOOKUP($C192,CapRate,16),10)</f>
        <v>10</v>
      </c>
      <c r="BA192" s="122">
        <f>IF(ROUND(AA192/VLOOKUP($C192,CapRate,17),0)&gt;10,AA192/VLOOKUP($C192,CapRate,17),10)</f>
        <v>10</v>
      </c>
      <c r="BB192" s="122">
        <f>IF(ROUND(AB192/VLOOKUP($C192,CapRate,18),0)&gt;10,AB192/VLOOKUP($C192,CapRate,18),10)</f>
        <v>10</v>
      </c>
      <c r="BC192" s="122">
        <f>IF(ROUND(AC192/VLOOKUP($C192,CapRate,19),0)&gt;10,AC192/VLOOKUP($C192,CapRate,19),10)</f>
        <v>10</v>
      </c>
      <c r="BD192" s="122">
        <f>IF(ROUND(AD192/VLOOKUP($C192,CapRate,20),0)&gt;10,AD192/VLOOKUP($C192,CapRate,20),10)</f>
        <v>16.778975741239893</v>
      </c>
      <c r="BE192" s="72">
        <f>IF(ROUND(AE192/VLOOKUP($C192,CapRate,21),0)&gt;10,AE192/VLOOKUP($C192,CapRate,21),10)</f>
        <v>23.698264352469959</v>
      </c>
      <c r="BF192" s="72">
        <f>IF(ROUND(AF192/VLOOKUP($C192,CapRate,22),0)&gt;10,AF192/VLOOKUP($C192,CapRate,22),10)</f>
        <v>25.742574257425744</v>
      </c>
      <c r="BG192" s="72">
        <f>IF(ROUND(AG192/VLOOKUP($C192,CapRate,23),0)&gt;10,AG192/VLOOKUP($C192,CapRate,23),10)</f>
        <v>27.900912646675359</v>
      </c>
      <c r="BH192" s="72">
        <f>IF(ROUND(AH192/VLOOKUP($C192,CapRate,24),0)&gt;10,AH192/VLOOKUP($C192,CapRate,24),10)</f>
        <v>29.980657640232113</v>
      </c>
      <c r="BI192" s="72">
        <f>IF(ROUND(AI192/VLOOKUP($C192,CapRate,25),0)&gt;10,AI192/VLOOKUP($C192,CapRate,25),10)</f>
        <v>31.014677728142949</v>
      </c>
      <c r="BJ192" s="72">
        <f>IF(ROUND(AJ192/VLOOKUP($C192,CapRate,26),0)&gt;10,AJ192/VLOOKUP($C192,CapRate,26),10)</f>
        <v>31.979695431472084</v>
      </c>
      <c r="BK192" s="75">
        <f t="shared" si="38"/>
        <v>3.1114871216394224E-2</v>
      </c>
      <c r="BL192" s="76"/>
      <c r="BM192" s="77">
        <f>BK192</f>
        <v>3.1114871216394224E-2</v>
      </c>
      <c r="BN192" s="77"/>
      <c r="BO192" s="77"/>
      <c r="BP192" s="77"/>
      <c r="BQ192" s="77">
        <f>AVERAGE(BL195:BL243)</f>
        <v>-0.10312692174919834</v>
      </c>
    </row>
    <row r="193" spans="1:68" ht="15.9" customHeight="1">
      <c r="A193" s="8"/>
      <c r="B193" s="22"/>
      <c r="C193" s="8" t="s">
        <v>112</v>
      </c>
      <c r="D193" s="23"/>
      <c r="E193" s="8" t="s">
        <v>85</v>
      </c>
      <c r="F193" s="188">
        <f>[1]AcreSummary!L57</f>
        <v>0</v>
      </c>
      <c r="G193" s="25"/>
      <c r="H193" s="117"/>
      <c r="I193" s="57"/>
      <c r="J193" s="58">
        <f>[1]Tame!D24</f>
        <v>8.8239999999999998</v>
      </c>
      <c r="K193" s="80">
        <f>[1]Tame!E24</f>
        <v>7.97</v>
      </c>
      <c r="L193" s="68">
        <f>[1]Tame!F24</f>
        <v>7.1109999999999998</v>
      </c>
      <c r="M193" s="58">
        <f>[1]Tame!G24</f>
        <v>6.4050000000000002</v>
      </c>
      <c r="N193" s="81">
        <f>[1]Tame!H24</f>
        <v>5.46</v>
      </c>
      <c r="O193" s="62">
        <v>7.04</v>
      </c>
      <c r="P193" s="81">
        <f>[1]Tame!I24</f>
        <v>4.45</v>
      </c>
      <c r="Q193" s="82">
        <f>[1]Tame!J24</f>
        <v>4.42</v>
      </c>
      <c r="R193" s="83">
        <v>4.42</v>
      </c>
      <c r="S193" s="84">
        <f>[1]Tame!K24</f>
        <v>3.38</v>
      </c>
      <c r="T193" s="66">
        <f>[1]Tame!L24</f>
        <v>1.83</v>
      </c>
      <c r="U193" s="67">
        <f>[1]Tame!M24</f>
        <v>1.95</v>
      </c>
      <c r="V193" s="68">
        <f>[1]Tame!N24</f>
        <v>0</v>
      </c>
      <c r="W193" s="68">
        <f>[1]Tame!O24</f>
        <v>0</v>
      </c>
      <c r="X193" s="68">
        <v>0</v>
      </c>
      <c r="Y193" s="68">
        <v>0</v>
      </c>
      <c r="Z193" s="68">
        <v>0</v>
      </c>
      <c r="AA193" s="68">
        <v>0</v>
      </c>
      <c r="AB193" s="68">
        <v>0</v>
      </c>
      <c r="AC193" s="68">
        <v>0</v>
      </c>
      <c r="AD193" s="68">
        <v>0</v>
      </c>
      <c r="AE193" s="68">
        <v>0</v>
      </c>
      <c r="AF193" s="68">
        <v>0</v>
      </c>
      <c r="AG193" s="69">
        <v>0</v>
      </c>
      <c r="AH193" s="70">
        <v>0</v>
      </c>
      <c r="AI193" s="70">
        <v>0</v>
      </c>
      <c r="AJ193" s="70">
        <v>0</v>
      </c>
      <c r="AK193" s="8">
        <f>ROUND(J193/VLOOKUP($C193,CapRate,2),0)</f>
        <v>59</v>
      </c>
      <c r="AL193" s="8">
        <f>ROUND(K193/VLOOKUP($C193,CapRate,3),0)</f>
        <v>53</v>
      </c>
      <c r="AM193" s="85">
        <f>ROUND(L193/VLOOKUP($C193,CapRate,4),0)</f>
        <v>47</v>
      </c>
      <c r="AN193" s="23">
        <f>ROUND(M193/VLOOKUP($C193,CapRate,5),0)</f>
        <v>43</v>
      </c>
      <c r="AO193" s="85">
        <f t="shared" si="29"/>
        <v>49</v>
      </c>
      <c r="AP193" s="72">
        <f t="shared" si="30"/>
        <v>31</v>
      </c>
      <c r="AQ193" s="71">
        <f t="shared" si="35"/>
        <v>30</v>
      </c>
      <c r="AR193" s="71">
        <f t="shared" si="35"/>
        <v>30</v>
      </c>
      <c r="AS193" s="71">
        <v>0</v>
      </c>
      <c r="AT193" s="71">
        <v>0</v>
      </c>
      <c r="AU193" s="71">
        <v>0</v>
      </c>
      <c r="AV193" s="72">
        <f>IF(ROUND(V193/VLOOKUP($C193,CapRate,12),0)&gt;AV192,V193/VLOOKUP($C193,CapRate,12),AV192)</f>
        <v>19</v>
      </c>
      <c r="AW193" s="72">
        <f>IF(ROUND(W193/VLOOKUP($C193,CapRate,13),0)&gt;AW192,W193/VLOOKUP($C193,CapRate,13),AW192)</f>
        <v>11</v>
      </c>
      <c r="AX193" s="72">
        <f>IF(ROUND(X193/VLOOKUP($C193,CapRate,14),0)&gt;AX192,X193/VLOOKUP($C193,CapRate,14),AX192)</f>
        <v>10</v>
      </c>
      <c r="AY193" s="72">
        <f>IF(ROUND(Y193/VLOOKUP($C193,CapRate,15),0)&gt;AY192,Y193/VLOOKUP($C193,CapRate,15),AY192)</f>
        <v>10</v>
      </c>
      <c r="AZ193" s="72">
        <f>IF(ROUND(Z193/VLOOKUP($C193,CapRate,16),0)&gt;AZ192,Z193/VLOOKUP($C193,CapRate,16),AZ192)</f>
        <v>10</v>
      </c>
      <c r="BA193" s="72">
        <f>IF(ROUND(AA193/VLOOKUP($C193,CapRate,17),0)&gt;BA192,AA193/VLOOKUP($C193,CapRate,17),BA192)</f>
        <v>10</v>
      </c>
      <c r="BB193" s="72">
        <f>IF(ROUND(AB193/VLOOKUP($C193,CapRate,18),0)&gt;BB192,AB193/VLOOKUP($C193,CapRate,18),BB192)</f>
        <v>10</v>
      </c>
      <c r="BC193" s="72">
        <f>IF(ROUND(AC193/VLOOKUP($C193,CapRate,19),0)&gt;BC192,AC193/VLOOKUP($C193,CapRate,19),BC192)</f>
        <v>10</v>
      </c>
      <c r="BD193" s="72">
        <f>IF(ROUND(AD193/VLOOKUP($C193,CapRate,20),0)&gt;BD192,AD193/VLOOKUP($C193,CapRate,20),BD192)</f>
        <v>16.778975741239893</v>
      </c>
      <c r="BE193" s="72">
        <f>IF(ROUND(AE193/VLOOKUP($C193,CapRate,21),0)&gt;BE192,AE193/VLOOKUP($C193,CapRate,21),BE192)</f>
        <v>23.698264352469959</v>
      </c>
      <c r="BF193" s="72">
        <f>IF(ROUND(AF193/VLOOKUP($C193,CapRate,22),0)&gt;BF192,AF193/VLOOKUP($C193,CapRate,22),BF192)</f>
        <v>25.742574257425744</v>
      </c>
      <c r="BG193" s="72">
        <f>IF(ROUND(AG193/VLOOKUP($C193,CapRate,23),0)&gt;BG192,AG193/VLOOKUP($C193,CapRate,23),BG192)</f>
        <v>27.900912646675359</v>
      </c>
      <c r="BH193" s="72">
        <f>IF(ROUND(AH193/VLOOKUP($C193,CapRate,24),0)&gt;BH192,AH193/VLOOKUP($C193,CapRate,24),BH192)</f>
        <v>29.980657640232113</v>
      </c>
      <c r="BI193" s="72">
        <f>IF(ROUND(AI193/VLOOKUP($C193,CapRate,25),0)&gt;BI192,AI193/VLOOKUP($C193,CapRate,25),BI192)</f>
        <v>31.014677728142949</v>
      </c>
      <c r="BJ193" s="72">
        <f>IF(ROUND(AJ193/VLOOKUP($C193,CapRate,26),0)&gt;BJ192,AJ193/VLOOKUP($C193,CapRate,26),BJ192)</f>
        <v>31.979695431472084</v>
      </c>
      <c r="BK193" s="87">
        <f t="shared" si="38"/>
        <v>3.1114871216394224E-2</v>
      </c>
      <c r="BL193" s="76"/>
      <c r="BM193" s="77"/>
      <c r="BN193" s="77"/>
      <c r="BO193" s="77"/>
      <c r="BP193" s="77">
        <f>BK193</f>
        <v>3.1114871216394224E-2</v>
      </c>
    </row>
    <row r="194" spans="1:68" ht="15.9" customHeight="1">
      <c r="A194" s="8" t="s">
        <v>110</v>
      </c>
      <c r="B194" s="22"/>
      <c r="C194" s="8" t="s">
        <v>112</v>
      </c>
      <c r="D194" s="23"/>
      <c r="E194" s="8" t="s">
        <v>40</v>
      </c>
      <c r="F194" s="188">
        <f>[1]AcreSummary!J57</f>
        <v>0.26423981125459883</v>
      </c>
      <c r="G194" s="25"/>
      <c r="H194" s="117"/>
      <c r="I194" s="57">
        <f>[1]Dry!E57</f>
        <v>16.54</v>
      </c>
      <c r="J194" s="58">
        <f>[1]Dry!F57</f>
        <v>15.77</v>
      </c>
      <c r="K194" s="80">
        <f>[1]Dry!G57</f>
        <v>15.17</v>
      </c>
      <c r="L194" s="68">
        <f>[1]Dry!H57</f>
        <v>14.94</v>
      </c>
      <c r="M194" s="58">
        <f>[1]Dry!I57</f>
        <v>15.21</v>
      </c>
      <c r="N194" s="81">
        <f>[1]Dry!J57</f>
        <v>15.67</v>
      </c>
      <c r="O194" s="62">
        <v>15.65</v>
      </c>
      <c r="P194" s="81">
        <f>[1]Dry!K57</f>
        <v>16.690000000000001</v>
      </c>
      <c r="Q194" s="82">
        <f>[1]Dry!L57</f>
        <v>17.62</v>
      </c>
      <c r="R194" s="83">
        <f>Q194*0.95</f>
        <v>16.739000000000001</v>
      </c>
      <c r="S194" s="84">
        <f>[1]Dry!N57</f>
        <v>18.16</v>
      </c>
      <c r="T194" s="66">
        <f>[1]Dry!O57</f>
        <v>18.760000000000002</v>
      </c>
      <c r="U194" s="67">
        <f>[1]Dry!P57</f>
        <v>18.670000000000002</v>
      </c>
      <c r="V194" s="68">
        <f>[1]Dry!Q57</f>
        <v>15.84</v>
      </c>
      <c r="W194" s="68">
        <f>[1]Dry!R57</f>
        <v>17.32</v>
      </c>
      <c r="X194" s="68">
        <f>[1]Dry!S57</f>
        <v>17.829999999999998</v>
      </c>
      <c r="Y194" s="68">
        <f>[1]Dry!T57</f>
        <v>19.82</v>
      </c>
      <c r="Z194" s="68">
        <v>21.52</v>
      </c>
      <c r="AA194" s="68">
        <v>23.24</v>
      </c>
      <c r="AB194" s="68">
        <v>24.78</v>
      </c>
      <c r="AC194" s="68">
        <v>25.56</v>
      </c>
      <c r="AD194" s="68">
        <v>25.27</v>
      </c>
      <c r="AE194" s="68">
        <v>23.84</v>
      </c>
      <c r="AF194" s="68">
        <v>22.84</v>
      </c>
      <c r="AG194" s="69">
        <v>20.45</v>
      </c>
      <c r="AH194" s="70">
        <v>16.850000000000001</v>
      </c>
      <c r="AI194" s="70">
        <v>14.11</v>
      </c>
      <c r="AJ194" s="70">
        <v>11.48</v>
      </c>
      <c r="AK194" s="8">
        <f t="shared" si="31"/>
        <v>105</v>
      </c>
      <c r="AL194" s="8">
        <f t="shared" si="32"/>
        <v>101</v>
      </c>
      <c r="AM194" s="85">
        <f t="shared" si="33"/>
        <v>98</v>
      </c>
      <c r="AN194" s="23">
        <f t="shared" si="34"/>
        <v>101</v>
      </c>
      <c r="AO194" s="85">
        <f t="shared" si="29"/>
        <v>108</v>
      </c>
      <c r="AP194" s="72">
        <f t="shared" si="30"/>
        <v>116</v>
      </c>
      <c r="AQ194" s="71">
        <f t="shared" si="35"/>
        <v>121</v>
      </c>
      <c r="AR194" s="71">
        <f t="shared" si="35"/>
        <v>115</v>
      </c>
      <c r="AS194" s="71">
        <f t="shared" si="39"/>
        <v>125</v>
      </c>
      <c r="AT194" s="71">
        <f t="shared" si="40"/>
        <v>128</v>
      </c>
      <c r="AU194" s="71">
        <f t="shared" si="36"/>
        <v>128</v>
      </c>
      <c r="AV194" s="72">
        <f t="shared" si="37"/>
        <v>110</v>
      </c>
      <c r="AW194" s="72">
        <f>ROUND(W194/VLOOKUP($C194,CapRate,13),0)</f>
        <v>120</v>
      </c>
      <c r="AX194" s="72">
        <f>ROUND(X194/VLOOKUP($C194,CapRate,14),0)</f>
        <v>124</v>
      </c>
      <c r="AY194" s="72">
        <f>ROUND(Y194/VLOOKUP($C194,CapRate,15),0)</f>
        <v>138</v>
      </c>
      <c r="AZ194" s="72">
        <f>ROUND(Z194/VLOOKUP($C194,CapRate,16),0)</f>
        <v>150</v>
      </c>
      <c r="BA194" s="72">
        <f>ROUND(AA194/VLOOKUP($C194,CapRate,17),0)</f>
        <v>161</v>
      </c>
      <c r="BB194" s="72">
        <f>ROUND(AB194/VLOOKUP($C194,CapRate,18),0)</f>
        <v>171</v>
      </c>
      <c r="BC194" s="72">
        <f>ROUND(AC194/VLOOKUP($C194,CapRate,19),0)</f>
        <v>174</v>
      </c>
      <c r="BD194" s="72">
        <f>ROUND(AD194/VLOOKUP($C194,CapRate,20),0)</f>
        <v>170</v>
      </c>
      <c r="BE194" s="72">
        <f>ROUND(AE194/VLOOKUP($C194,CapRate,21),0)</f>
        <v>159</v>
      </c>
      <c r="BF194" s="72">
        <f>ROUND(AF194/VLOOKUP($C194,CapRate,22),0)</f>
        <v>151</v>
      </c>
      <c r="BG194" s="72">
        <f>ROUND(AG194/VLOOKUP($C194,CapRate,23),0)</f>
        <v>133</v>
      </c>
      <c r="BH194" s="72">
        <f>ROUND(AH194/VLOOKUP($C194,CapRate,24),0)</f>
        <v>109</v>
      </c>
      <c r="BI194" s="72">
        <f>ROUND(AI194/VLOOKUP($C194,CapRate,25),0)</f>
        <v>90</v>
      </c>
      <c r="BJ194" s="72">
        <f>ROUND(AJ194/VLOOKUP($C194,CapRate,26),0)</f>
        <v>73</v>
      </c>
      <c r="BK194" s="87">
        <f t="shared" si="38"/>
        <v>-0.18888888888888888</v>
      </c>
      <c r="BL194" s="76"/>
      <c r="BM194" s="77"/>
      <c r="BN194" s="77">
        <f>BK194</f>
        <v>-0.18888888888888888</v>
      </c>
      <c r="BO194" s="77"/>
      <c r="BP194" s="77"/>
    </row>
    <row r="195" spans="1:68" ht="15.9" customHeight="1" thickBot="1">
      <c r="A195" s="8" t="s">
        <v>110</v>
      </c>
      <c r="B195" s="22"/>
      <c r="C195" s="90" t="s">
        <v>112</v>
      </c>
      <c r="D195" s="91"/>
      <c r="E195" s="90" t="s">
        <v>41</v>
      </c>
      <c r="F195" s="190">
        <f>[1]AcreSummary!K57</f>
        <v>7.0089425839660749E-3</v>
      </c>
      <c r="G195" s="191">
        <f>[1]Irrigated!D63</f>
        <v>100</v>
      </c>
      <c r="H195" s="94">
        <f>[1]Irrigated!E63</f>
        <v>0.56000000000000005</v>
      </c>
      <c r="I195" s="95"/>
      <c r="J195" s="96">
        <f>[1]Irrigated!H63</f>
        <v>42.6</v>
      </c>
      <c r="K195" s="97">
        <f>[1]Irrigated!I63</f>
        <v>42.7</v>
      </c>
      <c r="L195" s="98">
        <f>[1]Irrigated!J63</f>
        <v>43.36</v>
      </c>
      <c r="M195" s="96">
        <f>[1]Irrigated!K63</f>
        <v>44.88</v>
      </c>
      <c r="N195" s="99">
        <f>[1]Irrigated!L63</f>
        <v>46.27</v>
      </c>
      <c r="O195" s="100">
        <v>36.97</v>
      </c>
      <c r="P195" s="99">
        <f>[1]Irrigated!M63</f>
        <v>46.25</v>
      </c>
      <c r="Q195" s="101">
        <f>[1]Irrigated!N63</f>
        <v>45.79</v>
      </c>
      <c r="R195" s="102">
        <v>45.79</v>
      </c>
      <c r="S195" s="103">
        <f>[1]Irrigated!O63</f>
        <v>45.67</v>
      </c>
      <c r="T195" s="104">
        <f>[1]Irrigated!P63</f>
        <v>45.64</v>
      </c>
      <c r="U195" s="105">
        <f>[1]Irrigated!Q63</f>
        <v>45.25</v>
      </c>
      <c r="V195" s="98">
        <f>[1]Irrigated!R63</f>
        <v>39.69</v>
      </c>
      <c r="W195" s="98">
        <f>[1]Irrigated!S63</f>
        <v>41.83</v>
      </c>
      <c r="X195" s="98">
        <v>44.67</v>
      </c>
      <c r="Y195" s="98">
        <v>49.66</v>
      </c>
      <c r="Z195" s="98">
        <v>57.26</v>
      </c>
      <c r="AA195" s="98">
        <v>63.1</v>
      </c>
      <c r="AB195" s="98">
        <v>73.83</v>
      </c>
      <c r="AC195" s="98">
        <v>82.72</v>
      </c>
      <c r="AD195" s="98">
        <v>86.56</v>
      </c>
      <c r="AE195" s="98">
        <v>89.14</v>
      </c>
      <c r="AF195" s="98">
        <v>90.64</v>
      </c>
      <c r="AG195" s="106">
        <v>90.69</v>
      </c>
      <c r="AH195" s="107">
        <v>83.88</v>
      </c>
      <c r="AI195" s="107">
        <v>73.739999999999995</v>
      </c>
      <c r="AJ195" s="107">
        <v>63.22</v>
      </c>
      <c r="AK195" s="90">
        <f t="shared" si="31"/>
        <v>284</v>
      </c>
      <c r="AL195" s="90">
        <f t="shared" si="32"/>
        <v>284</v>
      </c>
      <c r="AM195" s="108">
        <f t="shared" si="33"/>
        <v>285</v>
      </c>
      <c r="AN195" s="91">
        <f t="shared" si="34"/>
        <v>299</v>
      </c>
      <c r="AO195" s="108">
        <f t="shared" si="29"/>
        <v>255</v>
      </c>
      <c r="AP195" s="109">
        <f t="shared" si="30"/>
        <v>321</v>
      </c>
      <c r="AQ195" s="110">
        <f t="shared" si="35"/>
        <v>315</v>
      </c>
      <c r="AR195" s="110">
        <f t="shared" si="35"/>
        <v>315</v>
      </c>
      <c r="AS195" s="110">
        <f t="shared" si="39"/>
        <v>313</v>
      </c>
      <c r="AT195" s="110">
        <f t="shared" si="40"/>
        <v>312</v>
      </c>
      <c r="AU195" s="110">
        <f t="shared" si="36"/>
        <v>310</v>
      </c>
      <c r="AV195" s="109">
        <f t="shared" si="37"/>
        <v>275</v>
      </c>
      <c r="AW195" s="109">
        <f>ROUND(W195/VLOOKUP($C195,CapRate,13),0)</f>
        <v>290</v>
      </c>
      <c r="AX195" s="109">
        <f>ROUND(X195/VLOOKUP($C195,CapRate,14),0)</f>
        <v>310</v>
      </c>
      <c r="AY195" s="109">
        <f>ROUND(Y195/VLOOKUP($C195,CapRate,15),0)</f>
        <v>345</v>
      </c>
      <c r="AZ195" s="109">
        <f>ROUND(Z195/VLOOKUP($C195,CapRate,16),0)</f>
        <v>398</v>
      </c>
      <c r="BA195" s="109">
        <f>ROUND(AA195/VLOOKUP($C195,CapRate,17),0)</f>
        <v>438</v>
      </c>
      <c r="BB195" s="109">
        <f>ROUND(AB195/VLOOKUP($C195,CapRate,18),0)</f>
        <v>510</v>
      </c>
      <c r="BC195" s="109">
        <f>ROUND(AC195/VLOOKUP($C195,CapRate,19),0)</f>
        <v>564</v>
      </c>
      <c r="BD195" s="109">
        <f>ROUND(AD195/VLOOKUP($C195,CapRate,20),0)</f>
        <v>583</v>
      </c>
      <c r="BE195" s="109">
        <f>ROUND(AE195/VLOOKUP($C195,CapRate,21),0)</f>
        <v>595</v>
      </c>
      <c r="BF195" s="109">
        <f>ROUND(AF195/VLOOKUP($C195,CapRate,22),0)</f>
        <v>598</v>
      </c>
      <c r="BG195" s="109">
        <f>ROUND(AG195/VLOOKUP($C195,CapRate,23),0)</f>
        <v>591</v>
      </c>
      <c r="BH195" s="109">
        <f>ROUND(AH195/VLOOKUP($C195,CapRate,24),0)</f>
        <v>541</v>
      </c>
      <c r="BI195" s="109">
        <f>ROUND(AI195/VLOOKUP($C195,CapRate,25),0)</f>
        <v>471</v>
      </c>
      <c r="BJ195" s="109">
        <f>ROUND(AJ195/VLOOKUP($C195,CapRate,26),0)</f>
        <v>401</v>
      </c>
      <c r="BK195" s="193">
        <f t="shared" si="38"/>
        <v>-0.14861995753715496</v>
      </c>
      <c r="BL195" s="114">
        <f>((F192*BK192)+(F193*BK193)+(F194*BK194)+(F195*BK195))</f>
        <v>-2.8278631924200427E-2</v>
      </c>
      <c r="BM195" s="120"/>
      <c r="BN195" s="115"/>
      <c r="BO195" s="115">
        <f>BK195</f>
        <v>-0.14861995753715496</v>
      </c>
      <c r="BP195" s="115"/>
    </row>
    <row r="196" spans="1:68" ht="15.9" customHeight="1" thickTop="1">
      <c r="A196" s="8" t="s">
        <v>110</v>
      </c>
      <c r="B196" s="22"/>
      <c r="C196" s="8" t="s">
        <v>113</v>
      </c>
      <c r="D196" s="23" t="s">
        <v>113</v>
      </c>
      <c r="E196" s="8" t="s">
        <v>39</v>
      </c>
      <c r="F196" s="188">
        <f>[1]AcreSummary!M58</f>
        <v>0.7251690583764937</v>
      </c>
      <c r="G196" s="25"/>
      <c r="H196" s="117"/>
      <c r="I196" s="57">
        <f>[1]Native!E56</f>
        <v>4.87</v>
      </c>
      <c r="J196" s="58">
        <f>[1]Native!F56</f>
        <v>5.3470000000000004</v>
      </c>
      <c r="K196" s="80">
        <f>[1]Native!G56</f>
        <v>5.2690000000000001</v>
      </c>
      <c r="L196" s="68">
        <f>[1]Native!H56</f>
        <v>5.3369999999999997</v>
      </c>
      <c r="M196" s="58">
        <f>[1]Native!I56</f>
        <v>5.5140000000000002</v>
      </c>
      <c r="N196" s="81">
        <f>[1]Native!J56</f>
        <v>5.55</v>
      </c>
      <c r="O196" s="62">
        <v>5.23</v>
      </c>
      <c r="P196" s="81">
        <f>[1]Native!K56</f>
        <v>5.59</v>
      </c>
      <c r="Q196" s="82">
        <f>[1]Native!L56</f>
        <v>5.64</v>
      </c>
      <c r="R196" s="83">
        <v>5.64</v>
      </c>
      <c r="S196" s="84">
        <f>[1]Native!M56</f>
        <v>5.82</v>
      </c>
      <c r="T196" s="66">
        <f>[1]Native!N56</f>
        <v>5.91</v>
      </c>
      <c r="U196" s="67">
        <f>[1]Native!O56</f>
        <v>6.05</v>
      </c>
      <c r="V196" s="67">
        <f>[1]Native!P56</f>
        <v>2.91</v>
      </c>
      <c r="W196" s="67">
        <f>[1]Native!Q56</f>
        <v>1.67</v>
      </c>
      <c r="X196" s="68">
        <v>1.0900000000000001</v>
      </c>
      <c r="Y196" s="68">
        <v>0.55000000000000004</v>
      </c>
      <c r="Z196" s="68">
        <v>0.84</v>
      </c>
      <c r="AA196" s="68">
        <v>1.05</v>
      </c>
      <c r="AB196" s="68">
        <v>1.26</v>
      </c>
      <c r="AC196" s="68">
        <v>1.57</v>
      </c>
      <c r="AD196" s="68">
        <v>2.52</v>
      </c>
      <c r="AE196" s="68">
        <v>3.58</v>
      </c>
      <c r="AF196" s="68">
        <v>4.01</v>
      </c>
      <c r="AG196" s="69">
        <v>4.4000000000000004</v>
      </c>
      <c r="AH196" s="70">
        <v>4.7699999999999996</v>
      </c>
      <c r="AI196" s="70">
        <v>4.99</v>
      </c>
      <c r="AJ196" s="70">
        <v>5.0599999999999996</v>
      </c>
      <c r="AK196" s="8">
        <f t="shared" si="31"/>
        <v>35</v>
      </c>
      <c r="AL196" s="8">
        <f t="shared" si="32"/>
        <v>35</v>
      </c>
      <c r="AM196" s="85">
        <f t="shared" si="33"/>
        <v>35</v>
      </c>
      <c r="AN196" s="23">
        <f t="shared" si="34"/>
        <v>36</v>
      </c>
      <c r="AO196" s="85">
        <f t="shared" si="29"/>
        <v>36</v>
      </c>
      <c r="AP196" s="72">
        <f t="shared" si="30"/>
        <v>39</v>
      </c>
      <c r="AQ196" s="71">
        <f t="shared" si="35"/>
        <v>39</v>
      </c>
      <c r="AR196" s="71">
        <f t="shared" si="35"/>
        <v>39</v>
      </c>
      <c r="AS196" s="71">
        <f t="shared" si="39"/>
        <v>40</v>
      </c>
      <c r="AT196" s="71">
        <f t="shared" si="40"/>
        <v>41</v>
      </c>
      <c r="AU196" s="71">
        <f t="shared" si="36"/>
        <v>42</v>
      </c>
      <c r="AV196" s="72">
        <f t="shared" si="37"/>
        <v>20</v>
      </c>
      <c r="AW196" s="72">
        <f>ROUND(W196/VLOOKUP($C196,CapRate,13),0)</f>
        <v>11</v>
      </c>
      <c r="AX196" s="122">
        <f>IF(ROUND(X196/VLOOKUP($C196,CapRate,14),0)&gt;10,X196/VLOOKUP($C196,CapRate,14),10)</f>
        <v>10</v>
      </c>
      <c r="AY196" s="122">
        <f>IF(ROUND(Y196/VLOOKUP($C196,CapRate,15),0)&gt;10,Y196/VLOOKUP($C196,CapRate,15),10)</f>
        <v>10</v>
      </c>
      <c r="AZ196" s="122">
        <f>IF(ROUND(Z196/VLOOKUP($C196,CapRate,16),0)&gt;10,Z196/VLOOKUP($C196,CapRate,16),10)</f>
        <v>10</v>
      </c>
      <c r="BA196" s="122">
        <f>IF(ROUND(AA196/VLOOKUP($C196,CapRate,17),0)&gt;10,AA196/VLOOKUP($C196,CapRate,17),10)</f>
        <v>10</v>
      </c>
      <c r="BB196" s="122">
        <f>IF(ROUND(AB196/VLOOKUP($C196,CapRate,18),0)&gt;10,AB196/VLOOKUP($C196,CapRate,18),10)</f>
        <v>10</v>
      </c>
      <c r="BC196" s="122">
        <f>IF(ROUND(AC196/VLOOKUP($C196,CapRate,19),0)&gt;10,AC196/VLOOKUP($C196,CapRate,19),10)</f>
        <v>10</v>
      </c>
      <c r="BD196" s="122">
        <f>IF(ROUND(AD196/VLOOKUP($C196,CapRate,20),0)&gt;10,AD196/VLOOKUP($C196,CapRate,20),10)</f>
        <v>16.427640156453716</v>
      </c>
      <c r="BE196" s="122">
        <f>IF(ROUND(AE196/VLOOKUP($C196,CapRate,21),0)&gt;10,AE196/VLOOKUP($C196,CapRate,21),10)</f>
        <v>23.201555411535971</v>
      </c>
      <c r="BF196" s="122">
        <f>IF(ROUND(AF196/VLOOKUP($C196,CapRate,22),0)&gt;10,AF196/VLOOKUP($C196,CapRate,22),10)</f>
        <v>25.705128205128204</v>
      </c>
      <c r="BG196" s="122">
        <f>IF(ROUND(AG196/VLOOKUP($C196,CapRate,23),0)&gt;10,AG196/VLOOKUP($C196,CapRate,23),10)</f>
        <v>27.93650793650794</v>
      </c>
      <c r="BH196" s="122">
        <f>IF(ROUND(AH196/VLOOKUP($C196,CapRate,24),0)&gt;10,AH196/VLOOKUP($C196,CapRate,24),10)</f>
        <v>29.849812265331661</v>
      </c>
      <c r="BI196" s="122">
        <v>31</v>
      </c>
      <c r="BJ196" s="122">
        <v>31</v>
      </c>
      <c r="BK196" s="75">
        <f t="shared" si="38"/>
        <v>0</v>
      </c>
      <c r="BL196" s="76"/>
      <c r="BM196" s="127">
        <f>BK196</f>
        <v>0</v>
      </c>
      <c r="BN196" s="77"/>
      <c r="BO196" s="77"/>
      <c r="BP196" s="77"/>
    </row>
    <row r="197" spans="1:68" ht="15.9" customHeight="1">
      <c r="A197" s="8"/>
      <c r="B197" s="22"/>
      <c r="C197" s="8" t="s">
        <v>113</v>
      </c>
      <c r="D197" s="23"/>
      <c r="E197" s="8" t="s">
        <v>85</v>
      </c>
      <c r="F197" s="188">
        <f>[1]AcreSummary!L58</f>
        <v>3.6087206434778632E-3</v>
      </c>
      <c r="G197" s="25"/>
      <c r="H197" s="117"/>
      <c r="I197" s="57"/>
      <c r="J197" s="58">
        <f>[1]Tame!D25</f>
        <v>0</v>
      </c>
      <c r="K197" s="80">
        <f>[1]Tame!E25</f>
        <v>0</v>
      </c>
      <c r="L197" s="68">
        <f>[1]Tame!F25</f>
        <v>0</v>
      </c>
      <c r="M197" s="58">
        <f>[1]Tame!G25</f>
        <v>0</v>
      </c>
      <c r="N197" s="81">
        <f>[1]Tame!H25</f>
        <v>0</v>
      </c>
      <c r="O197" s="62">
        <v>0</v>
      </c>
      <c r="P197" s="81">
        <f>[1]Tame!I25</f>
        <v>0</v>
      </c>
      <c r="Q197" s="82">
        <f>[1]Tame!J25</f>
        <v>0</v>
      </c>
      <c r="R197" s="83">
        <v>0</v>
      </c>
      <c r="S197" s="84">
        <f>[1]Tame!K25</f>
        <v>0</v>
      </c>
      <c r="T197" s="66">
        <f>[1]Tame!L25</f>
        <v>0</v>
      </c>
      <c r="U197" s="67">
        <f>[1]Tame!M25</f>
        <v>0</v>
      </c>
      <c r="V197" s="68">
        <f>[1]Tame!N25</f>
        <v>0</v>
      </c>
      <c r="W197" s="68">
        <f>[1]Tame!O25</f>
        <v>0</v>
      </c>
      <c r="X197" s="68">
        <v>0</v>
      </c>
      <c r="Y197" s="68">
        <v>0</v>
      </c>
      <c r="Z197" s="68">
        <v>0</v>
      </c>
      <c r="AA197" s="68">
        <v>0</v>
      </c>
      <c r="AB197" s="68">
        <v>0</v>
      </c>
      <c r="AC197" s="68">
        <v>0</v>
      </c>
      <c r="AD197" s="68">
        <v>0</v>
      </c>
      <c r="AE197" s="68">
        <v>0</v>
      </c>
      <c r="AF197" s="68">
        <v>0</v>
      </c>
      <c r="AG197" s="69">
        <v>0</v>
      </c>
      <c r="AH197" s="70">
        <v>0</v>
      </c>
      <c r="AI197" s="70">
        <v>0</v>
      </c>
      <c r="AJ197" s="70">
        <v>0</v>
      </c>
      <c r="AK197" s="8">
        <f>ROUND(J197/VLOOKUP($C197,CapRate,2),0)</f>
        <v>0</v>
      </c>
      <c r="AL197" s="8">
        <f>ROUND(K197/VLOOKUP($C197,CapRate,3),0)</f>
        <v>0</v>
      </c>
      <c r="AM197" s="85">
        <f>ROUND(L197/VLOOKUP($C197,CapRate,4),0)</f>
        <v>0</v>
      </c>
      <c r="AN197" s="23">
        <f>ROUND(M197/VLOOKUP($C197,CapRate,5),0)</f>
        <v>0</v>
      </c>
      <c r="AO197" s="85">
        <f t="shared" si="29"/>
        <v>0</v>
      </c>
      <c r="AP197" s="72">
        <f t="shared" si="30"/>
        <v>0</v>
      </c>
      <c r="AQ197" s="71">
        <f t="shared" si="35"/>
        <v>0</v>
      </c>
      <c r="AR197" s="71">
        <f t="shared" si="35"/>
        <v>0</v>
      </c>
      <c r="AS197" s="71">
        <f t="shared" si="39"/>
        <v>0</v>
      </c>
      <c r="AT197" s="71">
        <f t="shared" si="40"/>
        <v>0</v>
      </c>
      <c r="AU197" s="71">
        <f t="shared" si="36"/>
        <v>0</v>
      </c>
      <c r="AV197" s="72">
        <f>IF(ROUND(V197/VLOOKUP($C197,CapRate,12),0)&gt;AV196,V197/VLOOKUP($C197,CapRate,12),AV196)</f>
        <v>20</v>
      </c>
      <c r="AW197" s="72">
        <f>IF(ROUND(W197/VLOOKUP($C197,CapRate,13),0)&gt;AW196,W197/VLOOKUP($C197,CapRate,13),AW196)</f>
        <v>11</v>
      </c>
      <c r="AX197" s="72">
        <f>IF(ROUND(X197/VLOOKUP($C197,CapRate,14),0)&gt;AX196,X197/VLOOKUP($C197,CapRate,14),AX196)</f>
        <v>10</v>
      </c>
      <c r="AY197" s="72">
        <f>IF(ROUND(Y197/VLOOKUP($C197,CapRate,15),0)&gt;AY196,Y197/VLOOKUP($C197,CapRate,15),AY196)</f>
        <v>10</v>
      </c>
      <c r="AZ197" s="72">
        <f>IF(ROUND(Z197/VLOOKUP($C197,CapRate,16),0)&gt;AZ196,Z197/VLOOKUP($C197,CapRate,16),AZ196)</f>
        <v>10</v>
      </c>
      <c r="BA197" s="72">
        <f>IF(ROUND(AA197/VLOOKUP($C197,CapRate,17),0)&gt;BA196,AA197/VLOOKUP($C197,CapRate,17),BA196)</f>
        <v>10</v>
      </c>
      <c r="BB197" s="72">
        <f>IF(ROUND(AB197/VLOOKUP($C197,CapRate,18),0)&gt;BB196,AB197/VLOOKUP($C197,CapRate,18),BB196)</f>
        <v>10</v>
      </c>
      <c r="BC197" s="72">
        <f>IF(ROUND(AC197/VLOOKUP($C197,CapRate,19),0)&gt;BC196,AC197/VLOOKUP($C197,CapRate,19),BC196)</f>
        <v>10</v>
      </c>
      <c r="BD197" s="72">
        <f>IF(ROUND(AD197/VLOOKUP($C197,CapRate,20),0)&gt;BD196,AD197/VLOOKUP($C197,CapRate,20),BD196)</f>
        <v>16.427640156453716</v>
      </c>
      <c r="BE197" s="72">
        <f>IF(ROUND(AE197/VLOOKUP($C197,CapRate,21),0)&gt;BE196,AE197/VLOOKUP($C197,CapRate,21),BE196)</f>
        <v>23.201555411535971</v>
      </c>
      <c r="BF197" s="72">
        <f>IF(ROUND(AF197/VLOOKUP($C197,CapRate,22),0)&gt;BF196,AF197/VLOOKUP($C197,CapRate,22),BF196)</f>
        <v>25.705128205128204</v>
      </c>
      <c r="BG197" s="72">
        <f>IF(ROUND(AG197/VLOOKUP($C197,CapRate,23),0)&gt;BG196,AG197/VLOOKUP($C197,CapRate,23),BG196)</f>
        <v>27.93650793650794</v>
      </c>
      <c r="BH197" s="72">
        <f>IF(ROUND(AH197/VLOOKUP($C197,CapRate,24),0)&gt;BH196,AH197/VLOOKUP($C197,CapRate,24),BH196)</f>
        <v>29.849812265331661</v>
      </c>
      <c r="BI197" s="72">
        <f>IF(ROUND(AI197/VLOOKUP($C197,CapRate,25),0)&gt;BI196,AI197/VLOOKUP($C197,CapRate,25),BI196)</f>
        <v>31</v>
      </c>
      <c r="BJ197" s="72">
        <f>IF(ROUND(AJ197/VLOOKUP($C197,CapRate,26),0)&gt;BJ196,AJ197/VLOOKUP($C197,CapRate,26),BJ196)</f>
        <v>31</v>
      </c>
      <c r="BK197" s="87">
        <f t="shared" si="38"/>
        <v>0</v>
      </c>
      <c r="BL197" s="76"/>
      <c r="BM197" s="127"/>
      <c r="BN197" s="77"/>
      <c r="BO197" s="77"/>
      <c r="BP197" s="77">
        <f>BK197</f>
        <v>0</v>
      </c>
    </row>
    <row r="198" spans="1:68" ht="15.9" customHeight="1">
      <c r="A198" s="8" t="s">
        <v>110</v>
      </c>
      <c r="B198" s="22"/>
      <c r="C198" s="8" t="s">
        <v>113</v>
      </c>
      <c r="D198" s="23"/>
      <c r="E198" s="8" t="s">
        <v>40</v>
      </c>
      <c r="F198" s="188">
        <f>[1]AcreSummary!J58</f>
        <v>0.25752097133644575</v>
      </c>
      <c r="G198" s="25"/>
      <c r="H198" s="117"/>
      <c r="I198" s="57">
        <f>[1]Dry!E58</f>
        <v>10.58</v>
      </c>
      <c r="J198" s="58">
        <f>[1]Dry!F58</f>
        <v>11.04</v>
      </c>
      <c r="K198" s="80">
        <f>[1]Dry!G58</f>
        <v>10.54</v>
      </c>
      <c r="L198" s="68">
        <f>[1]Dry!H58</f>
        <v>10.4</v>
      </c>
      <c r="M198" s="58">
        <f>[1]Dry!I58</f>
        <v>10.36</v>
      </c>
      <c r="N198" s="81">
        <f>[1]Dry!J58</f>
        <v>10.54</v>
      </c>
      <c r="O198" s="62">
        <v>9.93</v>
      </c>
      <c r="P198" s="81">
        <f>[1]Dry!K58</f>
        <v>11.17</v>
      </c>
      <c r="Q198" s="82">
        <f>[1]Dry!L58</f>
        <v>11.67</v>
      </c>
      <c r="R198" s="83">
        <f>Q198*0.95</f>
        <v>11.086499999999999</v>
      </c>
      <c r="S198" s="84">
        <f>[1]Dry!N58</f>
        <v>11.6</v>
      </c>
      <c r="T198" s="66">
        <f>[1]Dry!O58</f>
        <v>12.06</v>
      </c>
      <c r="U198" s="67">
        <f>[1]Dry!P58</f>
        <v>12.06</v>
      </c>
      <c r="V198" s="68">
        <f>[1]Dry!Q58</f>
        <v>5.53</v>
      </c>
      <c r="W198" s="68">
        <f>[1]Dry!R58</f>
        <v>6.66</v>
      </c>
      <c r="X198" s="68">
        <f>[1]Dry!S58</f>
        <v>7.25</v>
      </c>
      <c r="Y198" s="68">
        <f>[1]Dry!T58</f>
        <v>7.96</v>
      </c>
      <c r="Z198" s="68">
        <v>8.49</v>
      </c>
      <c r="AA198" s="68">
        <v>18.13</v>
      </c>
      <c r="AB198" s="68">
        <v>19.309999999999999</v>
      </c>
      <c r="AC198" s="68">
        <v>20.399999999999999</v>
      </c>
      <c r="AD198" s="68">
        <v>19.32</v>
      </c>
      <c r="AE198" s="68">
        <v>16.79</v>
      </c>
      <c r="AF198" s="68">
        <v>14.94</v>
      </c>
      <c r="AG198" s="69">
        <v>12.83</v>
      </c>
      <c r="AH198" s="70">
        <v>9.35</v>
      </c>
      <c r="AI198" s="70">
        <v>7.26</v>
      </c>
      <c r="AJ198" s="70">
        <v>4.78</v>
      </c>
      <c r="AK198" s="8">
        <f t="shared" si="31"/>
        <v>73</v>
      </c>
      <c r="AL198" s="8">
        <f t="shared" si="32"/>
        <v>70</v>
      </c>
      <c r="AM198" s="85">
        <f t="shared" si="33"/>
        <v>68</v>
      </c>
      <c r="AN198" s="23">
        <f t="shared" si="34"/>
        <v>68</v>
      </c>
      <c r="AO198" s="85">
        <f t="shared" si="29"/>
        <v>68</v>
      </c>
      <c r="AP198" s="72">
        <f t="shared" si="30"/>
        <v>77</v>
      </c>
      <c r="AQ198" s="71">
        <f t="shared" si="35"/>
        <v>80</v>
      </c>
      <c r="AR198" s="71">
        <f t="shared" si="35"/>
        <v>76</v>
      </c>
      <c r="AS198" s="71">
        <f t="shared" si="39"/>
        <v>80</v>
      </c>
      <c r="AT198" s="71">
        <f t="shared" si="40"/>
        <v>83</v>
      </c>
      <c r="AU198" s="71">
        <f t="shared" si="36"/>
        <v>83</v>
      </c>
      <c r="AV198" s="72">
        <f t="shared" si="37"/>
        <v>38</v>
      </c>
      <c r="AW198" s="72">
        <f>ROUND(W198/VLOOKUP($C198,CapRate,13),0)</f>
        <v>45</v>
      </c>
      <c r="AX198" s="72">
        <f>ROUND(X198/VLOOKUP($C198,CapRate,14),0)</f>
        <v>49</v>
      </c>
      <c r="AY198" s="72">
        <f>ROUND(Y198/VLOOKUP($C198,CapRate,15),0)</f>
        <v>54</v>
      </c>
      <c r="AZ198" s="72">
        <f>ROUND(Z198/VLOOKUP($C198,CapRate,16),0)</f>
        <v>57</v>
      </c>
      <c r="BA198" s="72">
        <f>ROUND(AA198/VLOOKUP($C198,CapRate,17),0)</f>
        <v>121</v>
      </c>
      <c r="BB198" s="72">
        <f>ROUND(AB198/VLOOKUP($C198,CapRate,18),0)</f>
        <v>128</v>
      </c>
      <c r="BC198" s="72">
        <f>ROUND(AC198/VLOOKUP($C198,CapRate,19),0)</f>
        <v>134</v>
      </c>
      <c r="BD198" s="72">
        <f>ROUND(AD198/VLOOKUP($C198,CapRate,20),0)</f>
        <v>126</v>
      </c>
      <c r="BE198" s="72">
        <f>ROUND(AE198/VLOOKUP($C198,CapRate,21),0)</f>
        <v>109</v>
      </c>
      <c r="BF198" s="72">
        <f>ROUND(AF198/VLOOKUP($C198,CapRate,22),0)</f>
        <v>96</v>
      </c>
      <c r="BG198" s="72">
        <f>ROUND(AG198/VLOOKUP($C198,CapRate,23),0)</f>
        <v>81</v>
      </c>
      <c r="BH198" s="72">
        <f>ROUND(AH198/VLOOKUP($C198,CapRate,24),0)</f>
        <v>59</v>
      </c>
      <c r="BI198" s="72">
        <f>ROUND(AI198/VLOOKUP($C198,CapRate,25),0)</f>
        <v>45</v>
      </c>
      <c r="BJ198" s="72">
        <f>ROUND(AJ198/VLOOKUP($C198,CapRate,26),0)</f>
        <v>29</v>
      </c>
      <c r="BK198" s="87">
        <f t="shared" si="38"/>
        <v>-0.35555555555555551</v>
      </c>
      <c r="BL198" s="76"/>
      <c r="BM198" s="77"/>
      <c r="BN198" s="77">
        <f>BK198</f>
        <v>-0.35555555555555551</v>
      </c>
      <c r="BO198" s="77"/>
      <c r="BP198" s="77"/>
    </row>
    <row r="199" spans="1:68" ht="15.9" customHeight="1" thickBot="1">
      <c r="A199" s="8" t="s">
        <v>110</v>
      </c>
      <c r="B199" s="22"/>
      <c r="C199" s="90" t="s">
        <v>113</v>
      </c>
      <c r="D199" s="91"/>
      <c r="E199" s="90" t="s">
        <v>41</v>
      </c>
      <c r="F199" s="190">
        <f>[1]AcreSummary!K58</f>
        <v>1.3701249643582712E-2</v>
      </c>
      <c r="G199" s="191">
        <f>[1]Irrigated!D64</f>
        <v>300</v>
      </c>
      <c r="H199" s="94">
        <f>[1]Irrigated!E64</f>
        <v>0.38</v>
      </c>
      <c r="I199" s="95"/>
      <c r="J199" s="96">
        <f>[1]Irrigated!H64</f>
        <v>25.87</v>
      </c>
      <c r="K199" s="97">
        <f>[1]Irrigated!I64</f>
        <v>25.08</v>
      </c>
      <c r="L199" s="98">
        <f>[1]Irrigated!J64</f>
        <v>24.78</v>
      </c>
      <c r="M199" s="96">
        <f>[1]Irrigated!K64</f>
        <v>25.38</v>
      </c>
      <c r="N199" s="99">
        <f>[1]Irrigated!L64</f>
        <v>26.01</v>
      </c>
      <c r="O199" s="100">
        <v>31.93</v>
      </c>
      <c r="P199" s="99">
        <f>[1]Irrigated!M64</f>
        <v>24.77</v>
      </c>
      <c r="Q199" s="101">
        <f>[1]Irrigated!N64</f>
        <v>24.16</v>
      </c>
      <c r="R199" s="102">
        <v>24.16</v>
      </c>
      <c r="S199" s="103">
        <f>[1]Irrigated!O64</f>
        <v>24.12</v>
      </c>
      <c r="T199" s="104">
        <f>[1]Irrigated!P64</f>
        <v>23.79</v>
      </c>
      <c r="U199" s="105">
        <f>[1]Irrigated!Q64</f>
        <v>24.07</v>
      </c>
      <c r="V199" s="98">
        <f>[1]Irrigated!R64</f>
        <v>20.38</v>
      </c>
      <c r="W199" s="98">
        <f>[1]Irrigated!S64</f>
        <v>22.17</v>
      </c>
      <c r="X199" s="98">
        <v>23.71</v>
      </c>
      <c r="Y199" s="98">
        <v>27.82</v>
      </c>
      <c r="Z199" s="98">
        <v>33.9</v>
      </c>
      <c r="AA199" s="98">
        <v>38.049999999999997</v>
      </c>
      <c r="AB199" s="98">
        <v>48.21</v>
      </c>
      <c r="AC199" s="98">
        <v>56.53</v>
      </c>
      <c r="AD199" s="98">
        <v>58.61</v>
      </c>
      <c r="AE199" s="98">
        <v>58.36</v>
      </c>
      <c r="AF199" s="98">
        <v>58.11</v>
      </c>
      <c r="AG199" s="106">
        <v>57.53</v>
      </c>
      <c r="AH199" s="107">
        <v>49.78</v>
      </c>
      <c r="AI199" s="107">
        <v>37.67</v>
      </c>
      <c r="AJ199" s="107">
        <v>25.51</v>
      </c>
      <c r="AK199" s="90">
        <f t="shared" si="31"/>
        <v>172</v>
      </c>
      <c r="AL199" s="90">
        <f t="shared" si="32"/>
        <v>165</v>
      </c>
      <c r="AM199" s="108">
        <f t="shared" si="33"/>
        <v>161</v>
      </c>
      <c r="AN199" s="91">
        <f t="shared" si="34"/>
        <v>168</v>
      </c>
      <c r="AO199" s="108">
        <f t="shared" si="29"/>
        <v>218</v>
      </c>
      <c r="AP199" s="109">
        <f t="shared" si="30"/>
        <v>171</v>
      </c>
      <c r="AQ199" s="110">
        <f t="shared" si="35"/>
        <v>166</v>
      </c>
      <c r="AR199" s="110">
        <f t="shared" si="35"/>
        <v>166</v>
      </c>
      <c r="AS199" s="110">
        <f t="shared" si="39"/>
        <v>167</v>
      </c>
      <c r="AT199" s="110">
        <f t="shared" si="40"/>
        <v>164</v>
      </c>
      <c r="AU199" s="110">
        <f t="shared" si="36"/>
        <v>167</v>
      </c>
      <c r="AV199" s="109">
        <f t="shared" si="37"/>
        <v>140</v>
      </c>
      <c r="AW199" s="109">
        <f>ROUND(W199/VLOOKUP($C199,CapRate,13),0)</f>
        <v>151</v>
      </c>
      <c r="AX199" s="109">
        <f>ROUND(X199/VLOOKUP($C199,CapRate,14),0)</f>
        <v>161</v>
      </c>
      <c r="AY199" s="109">
        <f>ROUND(Y199/VLOOKUP($C199,CapRate,15),0)</f>
        <v>188</v>
      </c>
      <c r="AZ199" s="109">
        <f>ROUND(Z199/VLOOKUP($C199,CapRate,16),0)</f>
        <v>228</v>
      </c>
      <c r="BA199" s="109">
        <f>ROUND(AA199/VLOOKUP($C199,CapRate,17),0)</f>
        <v>254</v>
      </c>
      <c r="BB199" s="109">
        <f>ROUND(AB199/VLOOKUP($C199,CapRate,18),0)</f>
        <v>321</v>
      </c>
      <c r="BC199" s="109">
        <f>ROUND(AC199/VLOOKUP($C199,CapRate,19),0)</f>
        <v>373</v>
      </c>
      <c r="BD199" s="109">
        <f>ROUND(AD199/VLOOKUP($C199,CapRate,20),0)</f>
        <v>382</v>
      </c>
      <c r="BE199" s="109">
        <f>ROUND(AE199/VLOOKUP($C199,CapRate,21),0)</f>
        <v>378</v>
      </c>
      <c r="BF199" s="109">
        <f>ROUND(AF199/VLOOKUP($C199,CapRate,22),0)</f>
        <v>373</v>
      </c>
      <c r="BG199" s="109">
        <f>ROUND(AG199/VLOOKUP($C199,CapRate,23),0)</f>
        <v>365</v>
      </c>
      <c r="BH199" s="109">
        <f>ROUND(AH199/VLOOKUP($C199,CapRate,24),0)</f>
        <v>312</v>
      </c>
      <c r="BI199" s="109">
        <f>ROUND(AI199/VLOOKUP($C199,CapRate,25),0)</f>
        <v>233</v>
      </c>
      <c r="BJ199" s="109">
        <f>ROUND(AJ199/VLOOKUP($C199,CapRate,26),0)</f>
        <v>155</v>
      </c>
      <c r="BK199" s="193">
        <f t="shared" si="38"/>
        <v>-0.33476394849785407</v>
      </c>
      <c r="BL199" s="114">
        <f>((F196*BK196)+(F197*BK197)+(F198*BK198)+(F199*BK199))</f>
        <v>-9.6149696460776826E-2</v>
      </c>
      <c r="BM199" s="120"/>
      <c r="BN199" s="115"/>
      <c r="BO199" s="115">
        <f>BK199</f>
        <v>-0.33476394849785407</v>
      </c>
      <c r="BP199" s="115"/>
    </row>
    <row r="200" spans="1:68" ht="15.9" customHeight="1" thickTop="1">
      <c r="A200" s="8" t="s">
        <v>110</v>
      </c>
      <c r="B200" s="22"/>
      <c r="C200" s="8" t="s">
        <v>114</v>
      </c>
      <c r="D200" s="23" t="s">
        <v>114</v>
      </c>
      <c r="E200" s="8" t="s">
        <v>39</v>
      </c>
      <c r="F200" s="188">
        <f>[1]AcreSummary!M59</f>
        <v>0.2351621042011596</v>
      </c>
      <c r="G200" s="25"/>
      <c r="H200" s="117"/>
      <c r="I200" s="57">
        <f>[1]Native!E57</f>
        <v>5.34</v>
      </c>
      <c r="J200" s="58">
        <f>[1]Native!F57</f>
        <v>5.2880000000000003</v>
      </c>
      <c r="K200" s="80">
        <f>[1]Native!G57</f>
        <v>5.2409999999999997</v>
      </c>
      <c r="L200" s="68">
        <f>[1]Native!H57</f>
        <v>5.3719999999999999</v>
      </c>
      <c r="M200" s="58">
        <f>[1]Native!I57</f>
        <v>5.6</v>
      </c>
      <c r="N200" s="81">
        <f>[1]Native!J57</f>
        <v>5.69</v>
      </c>
      <c r="O200" s="62">
        <v>5.79</v>
      </c>
      <c r="P200" s="81">
        <f>[1]Native!K57</f>
        <v>5.78</v>
      </c>
      <c r="Q200" s="82">
        <f>[1]Native!L57</f>
        <v>5.89</v>
      </c>
      <c r="R200" s="83">
        <v>5.89</v>
      </c>
      <c r="S200" s="84">
        <f>[1]Native!M57</f>
        <v>6.02</v>
      </c>
      <c r="T200" s="66">
        <f>[1]Native!N57</f>
        <v>6.15</v>
      </c>
      <c r="U200" s="67">
        <f>[1]Native!O57</f>
        <v>6.3</v>
      </c>
      <c r="V200" s="67">
        <f>[1]Native!P57</f>
        <v>3.45</v>
      </c>
      <c r="W200" s="67">
        <f>[1]Native!Q57</f>
        <v>2.31</v>
      </c>
      <c r="X200" s="68">
        <v>1.87</v>
      </c>
      <c r="Y200" s="68">
        <v>1.39</v>
      </c>
      <c r="Z200" s="68">
        <v>1.74</v>
      </c>
      <c r="AA200" s="68">
        <v>2.0099999999999998</v>
      </c>
      <c r="AB200" s="68">
        <v>2.13</v>
      </c>
      <c r="AC200" s="68">
        <v>2.5</v>
      </c>
      <c r="AD200" s="68">
        <v>3.47</v>
      </c>
      <c r="AE200" s="68">
        <v>4.53</v>
      </c>
      <c r="AF200" s="68">
        <v>4.91</v>
      </c>
      <c r="AG200" s="69">
        <v>5.31</v>
      </c>
      <c r="AH200" s="70">
        <v>5.7</v>
      </c>
      <c r="AI200" s="70">
        <v>6.38</v>
      </c>
      <c r="AJ200" s="70">
        <v>6.6</v>
      </c>
      <c r="AK200" s="8">
        <f t="shared" si="31"/>
        <v>35</v>
      </c>
      <c r="AL200" s="8">
        <f t="shared" si="32"/>
        <v>35</v>
      </c>
      <c r="AM200" s="85">
        <f t="shared" si="33"/>
        <v>35</v>
      </c>
      <c r="AN200" s="23">
        <f t="shared" si="34"/>
        <v>37</v>
      </c>
      <c r="AO200" s="85">
        <f t="shared" si="29"/>
        <v>40</v>
      </c>
      <c r="AP200" s="72">
        <f t="shared" si="30"/>
        <v>40</v>
      </c>
      <c r="AQ200" s="71">
        <f t="shared" si="35"/>
        <v>41</v>
      </c>
      <c r="AR200" s="71">
        <f t="shared" si="35"/>
        <v>41</v>
      </c>
      <c r="AS200" s="71">
        <f t="shared" si="39"/>
        <v>42</v>
      </c>
      <c r="AT200" s="71">
        <f t="shared" si="40"/>
        <v>42</v>
      </c>
      <c r="AU200" s="71">
        <f t="shared" si="36"/>
        <v>43</v>
      </c>
      <c r="AV200" s="72">
        <f t="shared" si="37"/>
        <v>24</v>
      </c>
      <c r="AW200" s="72">
        <f>ROUND(W200/VLOOKUP($C200,CapRate,13),0)</f>
        <v>16</v>
      </c>
      <c r="AX200" s="122">
        <f>IF(ROUND(X200/VLOOKUP($C200,CapRate,14),0)&gt;10,X200/VLOOKUP($C200,CapRate,14),10)</f>
        <v>12.695179904955875</v>
      </c>
      <c r="AY200" s="122">
        <f>IF(ROUND(Y200/VLOOKUP($C200,CapRate,15),0)&gt;10,Y200/VLOOKUP($C200,CapRate,15),10)</f>
        <v>10</v>
      </c>
      <c r="AZ200" s="122">
        <f>IF(ROUND(Z200/VLOOKUP($C200,CapRate,16),0)&gt;10,Z200/VLOOKUP($C200,CapRate,16),10)</f>
        <v>11.670020120724345</v>
      </c>
      <c r="BA200" s="122">
        <f>IF(ROUND(AA200/VLOOKUP($C200,CapRate,17),0)&gt;10,AA200/VLOOKUP($C200,CapRate,17),10)</f>
        <v>13.302448709463929</v>
      </c>
      <c r="BB200" s="122">
        <f>IF(ROUND(AB200/VLOOKUP($C200,CapRate,18),0)&gt;10,AB200/VLOOKUP($C200,CapRate,18),10)</f>
        <v>13.967213114754099</v>
      </c>
      <c r="BC200" s="122">
        <f>IF(ROUND(AC200/VLOOKUP($C200,CapRate,19),0)&gt;10,AC200/VLOOKUP($C200,CapRate,19),10)</f>
        <v>16.276041666666668</v>
      </c>
      <c r="BD200" s="122">
        <f>IF(ROUND(AD200/VLOOKUP($C200,CapRate,20),0)&gt;10,AD200/VLOOKUP($C200,CapRate,20),10)</f>
        <v>22.430510665804785</v>
      </c>
      <c r="BE200" s="122">
        <f>IF(ROUND(AE200/VLOOKUP($C200,CapRate,21),0)&gt;10,AE200/VLOOKUP($C200,CapRate,21),10)</f>
        <v>29.131832797427656</v>
      </c>
      <c r="BF200" s="122">
        <f>IF(ROUND(AF200/VLOOKUP($C200,CapRate,22),0)&gt;10,AF200/VLOOKUP($C200,CapRate,22),10)</f>
        <v>31.494547787042976</v>
      </c>
      <c r="BG200" s="122">
        <f>IF(ROUND(AG200/VLOOKUP($C200,CapRate,23),0)&gt;10,AG200/VLOOKUP($C200,CapRate,23),10)</f>
        <v>33.994878361075543</v>
      </c>
      <c r="BH200" s="122">
        <f>IF(ROUND(AH200/VLOOKUP($C200,CapRate,24),0)&gt;10,AH200/VLOOKUP($C200,CapRate,24),10)</f>
        <v>36.491677336747756</v>
      </c>
      <c r="BI200" s="122">
        <f>IF(ROUND(AI200/VLOOKUP($C200,CapRate,25),0)&gt;10,AI200/VLOOKUP($C200,CapRate,25),10)</f>
        <v>40.871236386931457</v>
      </c>
      <c r="BJ200" s="122">
        <f>IF(ROUND(AJ200/VLOOKUP($C200,CapRate,26),0)&gt;10,AJ200/VLOOKUP($C200,CapRate,26),10)</f>
        <v>42.25352112676056</v>
      </c>
      <c r="BK200" s="75">
        <f t="shared" si="38"/>
        <v>3.3820477725285736E-2</v>
      </c>
      <c r="BL200" s="76"/>
      <c r="BM200" s="77">
        <f>BK200</f>
        <v>3.3820477725285736E-2</v>
      </c>
      <c r="BN200" s="77"/>
      <c r="BO200" s="77"/>
      <c r="BP200" s="77"/>
    </row>
    <row r="201" spans="1:68" ht="15.9" customHeight="1">
      <c r="A201" s="8"/>
      <c r="B201" s="22"/>
      <c r="C201" s="8" t="s">
        <v>114</v>
      </c>
      <c r="D201" s="23"/>
      <c r="E201" s="8" t="s">
        <v>85</v>
      </c>
      <c r="F201" s="188">
        <f>[1]AcreSummary!L59</f>
        <v>5.1844726082278093E-6</v>
      </c>
      <c r="G201" s="25"/>
      <c r="H201" s="117"/>
      <c r="I201" s="57"/>
      <c r="J201" s="58">
        <f>[1]Tame!D26</f>
        <v>0</v>
      </c>
      <c r="K201" s="80">
        <f>[1]Tame!E26</f>
        <v>0</v>
      </c>
      <c r="L201" s="68">
        <f>[1]Tame!F26</f>
        <v>0</v>
      </c>
      <c r="M201" s="58">
        <f>[1]Tame!G26</f>
        <v>0</v>
      </c>
      <c r="N201" s="81">
        <f>[1]Tame!H26</f>
        <v>0</v>
      </c>
      <c r="O201" s="62">
        <v>0</v>
      </c>
      <c r="P201" s="81">
        <f>[1]Tame!I26</f>
        <v>0</v>
      </c>
      <c r="Q201" s="82">
        <f>[1]Tame!J26</f>
        <v>0</v>
      </c>
      <c r="R201" s="83">
        <v>0</v>
      </c>
      <c r="S201" s="84">
        <f>[1]Tame!K26</f>
        <v>0</v>
      </c>
      <c r="T201" s="66">
        <f>[1]Tame!L26</f>
        <v>0</v>
      </c>
      <c r="U201" s="67">
        <f>[1]Tame!M26</f>
        <v>0</v>
      </c>
      <c r="V201" s="68">
        <f>[1]Tame!N26</f>
        <v>0</v>
      </c>
      <c r="W201" s="68">
        <f>[1]Tame!O26</f>
        <v>0</v>
      </c>
      <c r="X201" s="68">
        <v>0</v>
      </c>
      <c r="Y201" s="68">
        <v>0</v>
      </c>
      <c r="Z201" s="68">
        <v>0</v>
      </c>
      <c r="AA201" s="68">
        <v>0</v>
      </c>
      <c r="AB201" s="68">
        <v>0</v>
      </c>
      <c r="AC201" s="68">
        <v>0</v>
      </c>
      <c r="AD201" s="68">
        <v>0</v>
      </c>
      <c r="AE201" s="68">
        <v>0</v>
      </c>
      <c r="AF201" s="68">
        <v>0</v>
      </c>
      <c r="AG201" s="69">
        <v>0</v>
      </c>
      <c r="AH201" s="70">
        <v>0</v>
      </c>
      <c r="AI201" s="70">
        <v>0</v>
      </c>
      <c r="AJ201" s="70">
        <v>0</v>
      </c>
      <c r="AK201" s="8">
        <f>ROUND(J201/VLOOKUP($C201,CapRate,2),0)</f>
        <v>0</v>
      </c>
      <c r="AL201" s="8">
        <f>ROUND(K201/VLOOKUP($C201,CapRate,3),0)</f>
        <v>0</v>
      </c>
      <c r="AM201" s="85">
        <f>ROUND(L201/VLOOKUP($C201,CapRate,4),0)</f>
        <v>0</v>
      </c>
      <c r="AN201" s="23">
        <f>ROUND(M201/VLOOKUP($C201,CapRate,5),0)</f>
        <v>0</v>
      </c>
      <c r="AO201" s="85">
        <f t="shared" ref="AO201:AO264" si="41">ROUND(O201/VLOOKUP($C201,CapRate,6),0)</f>
        <v>0</v>
      </c>
      <c r="AP201" s="72">
        <f t="shared" ref="AP201:AP264" si="42">ROUND(P201/VLOOKUP($C201,CapRate,7),0)</f>
        <v>0</v>
      </c>
      <c r="AQ201" s="71">
        <f t="shared" si="35"/>
        <v>0</v>
      </c>
      <c r="AR201" s="71">
        <f t="shared" si="35"/>
        <v>0</v>
      </c>
      <c r="AS201" s="71">
        <f t="shared" si="39"/>
        <v>0</v>
      </c>
      <c r="AT201" s="71">
        <f t="shared" si="40"/>
        <v>0</v>
      </c>
      <c r="AU201" s="71">
        <f t="shared" si="36"/>
        <v>0</v>
      </c>
      <c r="AV201" s="72">
        <f>IF(ROUND(V201/VLOOKUP($C201,CapRate,12),0)&gt;AV200,V201/VLOOKUP($C201,CapRate,12),AV200)</f>
        <v>24</v>
      </c>
      <c r="AW201" s="72">
        <f>IF(ROUND(W201/VLOOKUP($C201,CapRate,13),0)&gt;AW200,W201/VLOOKUP($C201,CapRate,13),AW200)</f>
        <v>16</v>
      </c>
      <c r="AX201" s="72">
        <f>IF(ROUND(X201/VLOOKUP($C201,CapRate,14),0)&gt;AX200,X201/VLOOKUP($C201,CapRate,14),AX200)</f>
        <v>12.695179904955875</v>
      </c>
      <c r="AY201" s="72">
        <f>IF(ROUND(Y201/VLOOKUP($C201,CapRate,15),0)&gt;AY200,Y201/VLOOKUP($C201,CapRate,15),AY200)</f>
        <v>10</v>
      </c>
      <c r="AZ201" s="72">
        <f>IF(ROUND(Z201/VLOOKUP($C201,CapRate,16),0)&gt;AZ200,Z201/VLOOKUP($C201,CapRate,16),AZ200)</f>
        <v>11.670020120724345</v>
      </c>
      <c r="BA201" s="72">
        <f>IF(ROUND(AA201/VLOOKUP($C201,CapRate,17),0)&gt;BA200,AA201/VLOOKUP($C201,CapRate,17),BA200)</f>
        <v>13.302448709463929</v>
      </c>
      <c r="BB201" s="72">
        <f>IF(ROUND(AB201/VLOOKUP($C201,CapRate,18),0)&gt;BB200,AB201/VLOOKUP($C201,CapRate,18),BB200)</f>
        <v>13.967213114754099</v>
      </c>
      <c r="BC201" s="72">
        <f>IF(ROUND(AC201/VLOOKUP($C201,CapRate,19),0)&gt;BC200,AC201/VLOOKUP($C201,CapRate,19),BC200)</f>
        <v>16.276041666666668</v>
      </c>
      <c r="BD201" s="72">
        <f>IF(ROUND(AD201/VLOOKUP($C201,CapRate,20),0)&gt;BD200,AD201/VLOOKUP($C201,CapRate,20),BD200)</f>
        <v>22.430510665804785</v>
      </c>
      <c r="BE201" s="72">
        <f>IF(ROUND(AE201/VLOOKUP($C201,CapRate,21),0)&gt;BE200,AE201/VLOOKUP($C201,CapRate,21),BE200)</f>
        <v>29.131832797427656</v>
      </c>
      <c r="BF201" s="72">
        <f>IF(ROUND(AF201/VLOOKUP($C201,CapRate,22),0)&gt;BF200,AF201/VLOOKUP($C201,CapRate,22),BF200)</f>
        <v>31.494547787042976</v>
      </c>
      <c r="BG201" s="72">
        <f>IF(ROUND(AG201/VLOOKUP($C201,CapRate,23),0)&gt;BG200,AG201/VLOOKUP($C201,CapRate,23),BG200)</f>
        <v>33.994878361075543</v>
      </c>
      <c r="BH201" s="72">
        <f>IF(ROUND(AH201/VLOOKUP($C201,CapRate,24),0)&gt;BH200,AH201/VLOOKUP($C201,CapRate,24),BH200)</f>
        <v>36.491677336747756</v>
      </c>
      <c r="BI201" s="72">
        <f>IF(ROUND(AI201/VLOOKUP($C201,CapRate,25),0)&gt;BI200,AI201/VLOOKUP($C201,CapRate,25),BI200)</f>
        <v>40.871236386931457</v>
      </c>
      <c r="BJ201" s="72">
        <f>IF(ROUND(AJ201/VLOOKUP($C201,CapRate,26),0)&gt;BJ200,AJ201/VLOOKUP($C201,CapRate,26),BJ200)</f>
        <v>42.25352112676056</v>
      </c>
      <c r="BK201" s="87">
        <f t="shared" si="38"/>
        <v>3.3820477725285736E-2</v>
      </c>
      <c r="BL201" s="76"/>
      <c r="BM201" s="77"/>
      <c r="BN201" s="77"/>
      <c r="BO201" s="77"/>
      <c r="BP201" s="77">
        <f>BK201</f>
        <v>3.3820477725285736E-2</v>
      </c>
    </row>
    <row r="202" spans="1:68" ht="15.9" customHeight="1">
      <c r="A202" s="8" t="s">
        <v>110</v>
      </c>
      <c r="B202" s="22"/>
      <c r="C202" s="8" t="s">
        <v>114</v>
      </c>
      <c r="D202" s="23"/>
      <c r="E202" s="8" t="s">
        <v>40</v>
      </c>
      <c r="F202" s="188">
        <f>[1]AcreSummary!J59</f>
        <v>0.51875374092101634</v>
      </c>
      <c r="G202" s="25"/>
      <c r="H202" s="117"/>
      <c r="I202" s="57">
        <f>[1]Dry!E59</f>
        <v>11.88</v>
      </c>
      <c r="J202" s="58">
        <f>[1]Dry!F59</f>
        <v>11.82</v>
      </c>
      <c r="K202" s="80">
        <f>[1]Dry!G59</f>
        <v>11.45</v>
      </c>
      <c r="L202" s="68">
        <f>[1]Dry!H59</f>
        <v>11.24</v>
      </c>
      <c r="M202" s="58">
        <f>[1]Dry!I59</f>
        <v>11.44</v>
      </c>
      <c r="N202" s="81">
        <f>[1]Dry!J59</f>
        <v>11.79</v>
      </c>
      <c r="O202" s="62">
        <v>11.82</v>
      </c>
      <c r="P202" s="81">
        <f>[1]Dry!K59</f>
        <v>12.66</v>
      </c>
      <c r="Q202" s="82">
        <f>[1]Dry!L59</f>
        <v>13.36</v>
      </c>
      <c r="R202" s="83">
        <f>Q202*0.95</f>
        <v>12.691999999999998</v>
      </c>
      <c r="S202" s="84">
        <f>[1]Dry!N59</f>
        <v>13.5</v>
      </c>
      <c r="T202" s="66">
        <f>[1]Dry!O59</f>
        <v>13.79</v>
      </c>
      <c r="U202" s="67">
        <f>[1]Dry!P59</f>
        <v>13.51</v>
      </c>
      <c r="V202" s="68">
        <f>[1]Dry!Q59</f>
        <v>5.01</v>
      </c>
      <c r="W202" s="68">
        <f>[1]Dry!R59</f>
        <v>5.64</v>
      </c>
      <c r="X202" s="68">
        <f>[1]Dry!S59</f>
        <v>6.39</v>
      </c>
      <c r="Y202" s="68">
        <f>[1]Dry!T59</f>
        <v>7.72</v>
      </c>
      <c r="Z202" s="68">
        <v>9.26</v>
      </c>
      <c r="AA202" s="68">
        <v>19.73</v>
      </c>
      <c r="AB202" s="68">
        <v>22.4</v>
      </c>
      <c r="AC202" s="68">
        <v>24.6</v>
      </c>
      <c r="AD202" s="68">
        <v>25.38</v>
      </c>
      <c r="AE202" s="68">
        <v>25.09</v>
      </c>
      <c r="AF202" s="68">
        <v>24.34</v>
      </c>
      <c r="AG202" s="69">
        <v>22.67</v>
      </c>
      <c r="AH202" s="70">
        <v>19.23</v>
      </c>
      <c r="AI202" s="70">
        <v>15.36</v>
      </c>
      <c r="AJ202" s="70">
        <v>12.2</v>
      </c>
      <c r="AK202" s="8">
        <f t="shared" si="31"/>
        <v>78</v>
      </c>
      <c r="AL202" s="8">
        <f t="shared" si="32"/>
        <v>76</v>
      </c>
      <c r="AM202" s="85">
        <f t="shared" si="33"/>
        <v>73</v>
      </c>
      <c r="AN202" s="23">
        <f t="shared" si="34"/>
        <v>76</v>
      </c>
      <c r="AO202" s="85">
        <f t="shared" si="41"/>
        <v>81</v>
      </c>
      <c r="AP202" s="72">
        <f t="shared" si="42"/>
        <v>88</v>
      </c>
      <c r="AQ202" s="71">
        <f t="shared" si="35"/>
        <v>92</v>
      </c>
      <c r="AR202" s="71">
        <f t="shared" si="35"/>
        <v>88</v>
      </c>
      <c r="AS202" s="71">
        <f t="shared" si="39"/>
        <v>93</v>
      </c>
      <c r="AT202" s="71">
        <f t="shared" si="40"/>
        <v>95</v>
      </c>
      <c r="AU202" s="71">
        <f t="shared" si="36"/>
        <v>93</v>
      </c>
      <c r="AV202" s="72">
        <f t="shared" si="37"/>
        <v>34</v>
      </c>
      <c r="AW202" s="72">
        <f>ROUND(W202/VLOOKUP($C202,CapRate,13),0)</f>
        <v>38</v>
      </c>
      <c r="AX202" s="72">
        <f>ROUND(X202/VLOOKUP($C202,CapRate,14),0)</f>
        <v>43</v>
      </c>
      <c r="AY202" s="72">
        <f>ROUND(Y202/VLOOKUP($C202,CapRate,15),0)</f>
        <v>52</v>
      </c>
      <c r="AZ202" s="72">
        <f>ROUND(Z202/VLOOKUP($C202,CapRate,16),0)</f>
        <v>62</v>
      </c>
      <c r="BA202" s="72">
        <f>ROUND(AA202/VLOOKUP($C202,CapRate,17),0)</f>
        <v>131</v>
      </c>
      <c r="BB202" s="72">
        <f>ROUND(AB202/VLOOKUP($C202,CapRate,18),0)</f>
        <v>147</v>
      </c>
      <c r="BC202" s="72">
        <f>ROUND(AC202/VLOOKUP($C202,CapRate,19),0)</f>
        <v>160</v>
      </c>
      <c r="BD202" s="72">
        <f>ROUND(AD202/VLOOKUP($C202,CapRate,20),0)</f>
        <v>164</v>
      </c>
      <c r="BE202" s="72">
        <f>ROUND(AE202/VLOOKUP($C202,CapRate,21),0)</f>
        <v>161</v>
      </c>
      <c r="BF202" s="72">
        <f>ROUND(AF202/VLOOKUP($C202,CapRate,22),0)</f>
        <v>156</v>
      </c>
      <c r="BG202" s="72">
        <f>ROUND(AG202/VLOOKUP($C202,CapRate,23),0)</f>
        <v>145</v>
      </c>
      <c r="BH202" s="72">
        <f>ROUND(AH202/VLOOKUP($C202,CapRate,24),0)</f>
        <v>123</v>
      </c>
      <c r="BI202" s="72">
        <f>ROUND(AI202/VLOOKUP($C202,CapRate,25),0)</f>
        <v>98</v>
      </c>
      <c r="BJ202" s="72">
        <f>ROUND(AJ202/VLOOKUP($C202,CapRate,26),0)</f>
        <v>78</v>
      </c>
      <c r="BK202" s="87">
        <f t="shared" si="38"/>
        <v>-0.20408163265306123</v>
      </c>
      <c r="BL202" s="76"/>
      <c r="BM202" s="77"/>
      <c r="BN202" s="77">
        <f>BK202</f>
        <v>-0.20408163265306123</v>
      </c>
      <c r="BO202" s="77"/>
      <c r="BP202" s="77"/>
    </row>
    <row r="203" spans="1:68" ht="15.9" customHeight="1" thickBot="1">
      <c r="A203" s="8" t="s">
        <v>110</v>
      </c>
      <c r="B203" s="22"/>
      <c r="C203" s="90" t="s">
        <v>114</v>
      </c>
      <c r="D203" s="91"/>
      <c r="E203" s="90" t="s">
        <v>41</v>
      </c>
      <c r="F203" s="190">
        <f>[1]AcreSummary!K59</f>
        <v>0.24607897040521576</v>
      </c>
      <c r="G203" s="191">
        <f>[1]Irrigated!D65</f>
        <v>100</v>
      </c>
      <c r="H203" s="94">
        <f>[1]Irrigated!E65</f>
        <v>0.86</v>
      </c>
      <c r="I203" s="95"/>
      <c r="J203" s="96">
        <f>[1]Irrigated!H65</f>
        <v>41.09</v>
      </c>
      <c r="K203" s="97">
        <f>[1]Irrigated!I65</f>
        <v>41.41</v>
      </c>
      <c r="L203" s="98">
        <f>[1]Irrigated!J65</f>
        <v>42.26</v>
      </c>
      <c r="M203" s="96">
        <f>[1]Irrigated!K65</f>
        <v>43.96</v>
      </c>
      <c r="N203" s="99">
        <f>[1]Irrigated!L65</f>
        <v>45.55</v>
      </c>
      <c r="O203" s="100">
        <v>43.79</v>
      </c>
      <c r="P203" s="99">
        <f>[1]Irrigated!M65</f>
        <v>45.73</v>
      </c>
      <c r="Q203" s="101">
        <f>[1]Irrigated!N65</f>
        <v>42.23</v>
      </c>
      <c r="R203" s="102">
        <v>42.23</v>
      </c>
      <c r="S203" s="103">
        <f>[1]Irrigated!O65</f>
        <v>41.7</v>
      </c>
      <c r="T203" s="104">
        <f>[1]Irrigated!P65</f>
        <v>41.28</v>
      </c>
      <c r="U203" s="105">
        <f>[1]Irrigated!Q65</f>
        <v>40.33</v>
      </c>
      <c r="V203" s="98">
        <f>[1]Irrigated!R65</f>
        <v>32.270000000000003</v>
      </c>
      <c r="W203" s="98">
        <f>[1]Irrigated!S65</f>
        <v>33.909999999999997</v>
      </c>
      <c r="X203" s="98">
        <v>35.92</v>
      </c>
      <c r="Y203" s="98">
        <v>40.32</v>
      </c>
      <c r="Z203" s="98">
        <v>46.8</v>
      </c>
      <c r="AA203" s="98">
        <v>51.77</v>
      </c>
      <c r="AB203" s="98">
        <v>61.79</v>
      </c>
      <c r="AC203" s="98">
        <v>70.489999999999995</v>
      </c>
      <c r="AD203" s="98">
        <v>74.13</v>
      </c>
      <c r="AE203" s="98">
        <v>75.91</v>
      </c>
      <c r="AF203" s="98">
        <v>77.069999999999993</v>
      </c>
      <c r="AG203" s="106">
        <v>77.010000000000005</v>
      </c>
      <c r="AH203" s="107">
        <v>70.34</v>
      </c>
      <c r="AI203" s="107">
        <v>72.59</v>
      </c>
      <c r="AJ203" s="107">
        <v>63.02</v>
      </c>
      <c r="AK203" s="90">
        <f t="shared" si="31"/>
        <v>273</v>
      </c>
      <c r="AL203" s="90">
        <f t="shared" si="32"/>
        <v>274</v>
      </c>
      <c r="AM203" s="108">
        <f t="shared" si="33"/>
        <v>275</v>
      </c>
      <c r="AN203" s="91">
        <f t="shared" si="34"/>
        <v>292</v>
      </c>
      <c r="AO203" s="108">
        <f t="shared" si="41"/>
        <v>302</v>
      </c>
      <c r="AP203" s="109">
        <f t="shared" si="42"/>
        <v>318</v>
      </c>
      <c r="AQ203" s="110">
        <f t="shared" si="35"/>
        <v>292</v>
      </c>
      <c r="AR203" s="110">
        <f t="shared" si="35"/>
        <v>292</v>
      </c>
      <c r="AS203" s="110">
        <f t="shared" si="39"/>
        <v>288</v>
      </c>
      <c r="AT203" s="110">
        <f t="shared" si="40"/>
        <v>285</v>
      </c>
      <c r="AU203" s="110">
        <f t="shared" si="36"/>
        <v>278</v>
      </c>
      <c r="AV203" s="109">
        <f t="shared" si="37"/>
        <v>221</v>
      </c>
      <c r="AW203" s="109">
        <f>ROUND(W203/VLOOKUP($C203,CapRate,13),0)</f>
        <v>231</v>
      </c>
      <c r="AX203" s="109">
        <f>ROUND(X203/VLOOKUP($C203,CapRate,14),0)</f>
        <v>244</v>
      </c>
      <c r="AY203" s="109">
        <f>ROUND(Y203/VLOOKUP($C203,CapRate,15),0)</f>
        <v>272</v>
      </c>
      <c r="AZ203" s="109">
        <f>ROUND(Z203/VLOOKUP($C203,CapRate,16),0)</f>
        <v>314</v>
      </c>
      <c r="BA203" s="109">
        <f>ROUND(AA203/VLOOKUP($C203,CapRate,17),0)</f>
        <v>343</v>
      </c>
      <c r="BB203" s="109">
        <f>ROUND(AB203/VLOOKUP($C203,CapRate,18),0)</f>
        <v>405</v>
      </c>
      <c r="BC203" s="109">
        <f>ROUND(AC203/VLOOKUP($C203,CapRate,19),0)</f>
        <v>459</v>
      </c>
      <c r="BD203" s="109">
        <f>ROUND(AD203/VLOOKUP($C203,CapRate,20),0)</f>
        <v>479</v>
      </c>
      <c r="BE203" s="109">
        <f>ROUND(AE203/VLOOKUP($C203,CapRate,21),0)</f>
        <v>488</v>
      </c>
      <c r="BF203" s="109">
        <f>ROUND(AF203/VLOOKUP($C203,CapRate,22),0)</f>
        <v>494</v>
      </c>
      <c r="BG203" s="109">
        <f>ROUND(AG203/VLOOKUP($C203,CapRate,23),0)</f>
        <v>493</v>
      </c>
      <c r="BH203" s="109">
        <f>ROUND(AH203/VLOOKUP($C203,CapRate,24),0)</f>
        <v>450</v>
      </c>
      <c r="BI203" s="109">
        <f>ROUND(AI203/VLOOKUP($C203,CapRate,25),0)</f>
        <v>465</v>
      </c>
      <c r="BJ203" s="109">
        <f>ROUND(AJ203/VLOOKUP($C203,CapRate,26),0)</f>
        <v>403</v>
      </c>
      <c r="BK203" s="193">
        <f t="shared" si="38"/>
        <v>-0.1333333333333333</v>
      </c>
      <c r="BL203" s="114">
        <f>((F200*BK200)+(F201*BK201)+(F202*BK202)+(F203*BK203))</f>
        <v>-0.13072516973109924</v>
      </c>
      <c r="BM203" s="120"/>
      <c r="BN203" s="115"/>
      <c r="BO203" s="115">
        <f>BK203</f>
        <v>-0.1333333333333333</v>
      </c>
      <c r="BP203" s="115"/>
    </row>
    <row r="204" spans="1:68" ht="15.9" customHeight="1" thickTop="1">
      <c r="A204" s="8" t="s">
        <v>110</v>
      </c>
      <c r="B204" s="22"/>
      <c r="C204" s="8" t="s">
        <v>115</v>
      </c>
      <c r="D204" s="23" t="s">
        <v>115</v>
      </c>
      <c r="E204" s="8" t="s">
        <v>39</v>
      </c>
      <c r="F204" s="188">
        <f>[1]AcreSummary!M60</f>
        <v>0.38597063273306642</v>
      </c>
      <c r="G204" s="25"/>
      <c r="H204" s="117"/>
      <c r="I204" s="57">
        <f>[1]Native!E58</f>
        <v>8.93</v>
      </c>
      <c r="J204" s="58">
        <f>[1]Native!F58</f>
        <v>7.64</v>
      </c>
      <c r="K204" s="80">
        <f>[1]Native!G58</f>
        <v>7.5640000000000001</v>
      </c>
      <c r="L204" s="68">
        <f>[1]Native!H58</f>
        <v>7.73</v>
      </c>
      <c r="M204" s="58">
        <f>[1]Native!I58</f>
        <v>8.0280000000000005</v>
      </c>
      <c r="N204" s="81">
        <f>[1]Native!J58</f>
        <v>8.15</v>
      </c>
      <c r="O204" s="62">
        <v>8.14</v>
      </c>
      <c r="P204" s="81">
        <f>[1]Native!K58</f>
        <v>8.23</v>
      </c>
      <c r="Q204" s="82">
        <f>[1]Native!L58</f>
        <v>8.32</v>
      </c>
      <c r="R204" s="83">
        <v>8.32</v>
      </c>
      <c r="S204" s="84">
        <f>[1]Native!M58</f>
        <v>8.5500000000000007</v>
      </c>
      <c r="T204" s="66">
        <f>[1]Native!N58</f>
        <v>8.7100000000000009</v>
      </c>
      <c r="U204" s="67">
        <f>[1]Native!O58</f>
        <v>8.91</v>
      </c>
      <c r="V204" s="67">
        <f>[1]Native!P58</f>
        <v>5.86</v>
      </c>
      <c r="W204" s="67">
        <f>[1]Native!Q58</f>
        <v>4.72</v>
      </c>
      <c r="X204" s="68">
        <v>4.24</v>
      </c>
      <c r="Y204" s="68">
        <v>3.84</v>
      </c>
      <c r="Z204" s="68">
        <v>4.25</v>
      </c>
      <c r="AA204" s="68">
        <v>4.5999999999999996</v>
      </c>
      <c r="AB204" s="68">
        <v>4.92</v>
      </c>
      <c r="AC204" s="68">
        <v>5.42</v>
      </c>
      <c r="AD204" s="68">
        <v>6.55</v>
      </c>
      <c r="AE204" s="68">
        <v>7.72</v>
      </c>
      <c r="AF204" s="68">
        <v>8.1300000000000008</v>
      </c>
      <c r="AG204" s="69">
        <v>8.61</v>
      </c>
      <c r="AH204" s="70">
        <v>9.11</v>
      </c>
      <c r="AI204" s="70">
        <v>9.51</v>
      </c>
      <c r="AJ204" s="70">
        <v>9.81</v>
      </c>
      <c r="AK204" s="8">
        <f t="shared" si="31"/>
        <v>50</v>
      </c>
      <c r="AL204" s="8">
        <f t="shared" si="32"/>
        <v>50</v>
      </c>
      <c r="AM204" s="85">
        <f t="shared" si="33"/>
        <v>50</v>
      </c>
      <c r="AN204" s="23">
        <f t="shared" si="34"/>
        <v>53</v>
      </c>
      <c r="AO204" s="85">
        <f t="shared" si="41"/>
        <v>56</v>
      </c>
      <c r="AP204" s="72">
        <f t="shared" si="42"/>
        <v>57</v>
      </c>
      <c r="AQ204" s="71">
        <f t="shared" si="35"/>
        <v>57</v>
      </c>
      <c r="AR204" s="71">
        <f t="shared" si="35"/>
        <v>57</v>
      </c>
      <c r="AS204" s="71">
        <f t="shared" si="39"/>
        <v>58</v>
      </c>
      <c r="AT204" s="71">
        <f t="shared" si="40"/>
        <v>59</v>
      </c>
      <c r="AU204" s="71">
        <f t="shared" si="36"/>
        <v>60</v>
      </c>
      <c r="AV204" s="72">
        <f t="shared" si="37"/>
        <v>39</v>
      </c>
      <c r="AW204" s="72">
        <f>ROUND(W204/VLOOKUP($C204,CapRate,13),0)</f>
        <v>31</v>
      </c>
      <c r="AX204" s="122">
        <f>IF(ROUND(X204/VLOOKUP($C204,CapRate,14),0)&gt;10,X204/VLOOKUP($C204,CapRate,14),10)</f>
        <v>28.17275747508306</v>
      </c>
      <c r="AY204" s="122">
        <f>IF(ROUND(Y204/VLOOKUP($C204,CapRate,15),0)&gt;10,Y204/VLOOKUP($C204,CapRate,15),10)</f>
        <v>25.531914893617021</v>
      </c>
      <c r="AZ204" s="122">
        <f>IF(ROUND(Z204/VLOOKUP($C204,CapRate,16),0)&gt;10,Z204/VLOOKUP($C204,CapRate,16),10)</f>
        <v>28.276779773785766</v>
      </c>
      <c r="BA204" s="122">
        <f>IF(ROUND(AA204/VLOOKUP($C204,CapRate,17),0)&gt;10,AA204/VLOOKUP($C204,CapRate,17),10)</f>
        <v>30.605455755156353</v>
      </c>
      <c r="BB204" s="122">
        <f>IF(ROUND(AB204/VLOOKUP($C204,CapRate,18),0)&gt;10,AB204/VLOOKUP($C204,CapRate,18),10)</f>
        <v>32.647644326476446</v>
      </c>
      <c r="BC204" s="122">
        <f>IF(ROUND(AC204/VLOOKUP($C204,CapRate,19),0)&gt;10,AC204/VLOOKUP($C204,CapRate,19),10)</f>
        <v>35.822868473231992</v>
      </c>
      <c r="BD204" s="122">
        <f>IF(ROUND(AD204/VLOOKUP($C204,CapRate,20),0)&gt;10,AD204/VLOOKUP($C204,CapRate,20),10)</f>
        <v>43.234323432343231</v>
      </c>
      <c r="BE204" s="122">
        <f>IF(ROUND(AE204/VLOOKUP($C204,CapRate,21),0)&gt;10,AE204/VLOOKUP($C204,CapRate,21),10)</f>
        <v>51.024454725710513</v>
      </c>
      <c r="BF204" s="122">
        <f>IF(ROUND(AF204/VLOOKUP($C204,CapRate,22),0)&gt;10,AF204/VLOOKUP($C204,CapRate,22),10)</f>
        <v>53.769841269841272</v>
      </c>
      <c r="BG204" s="122">
        <f>IF(ROUND(AG204/VLOOKUP($C204,CapRate,23),0)&gt;10,AG204/VLOOKUP($C204,CapRate,23),10)</f>
        <v>56.869220607661816</v>
      </c>
      <c r="BH204" s="122">
        <f>IF(ROUND(AH204/VLOOKUP($C204,CapRate,24),0)&gt;10,AH204/VLOOKUP($C204,CapRate,24),10)</f>
        <v>60.092348284960416</v>
      </c>
      <c r="BI204" s="122">
        <f>IF(ROUND(AI204/VLOOKUP($C204,CapRate,25),0)&gt;10,AI204/VLOOKUP($C204,CapRate,25),10)</f>
        <v>62.483574244415244</v>
      </c>
      <c r="BJ204" s="122">
        <f>IF(ROUND(AJ204/VLOOKUP($C204,CapRate,26),0)&gt;10,AJ204/VLOOKUP($C204,CapRate,26),10)</f>
        <v>64.4123440577807</v>
      </c>
      <c r="BK204" s="75">
        <f t="shared" si="38"/>
        <v>3.0868429610328318E-2</v>
      </c>
      <c r="BL204" s="76"/>
      <c r="BM204" s="77">
        <f>BK204</f>
        <v>3.0868429610328318E-2</v>
      </c>
      <c r="BN204" s="77"/>
      <c r="BO204" s="77"/>
      <c r="BP204" s="77"/>
    </row>
    <row r="205" spans="1:68" ht="15.9" customHeight="1">
      <c r="A205" s="8"/>
      <c r="B205" s="22"/>
      <c r="C205" s="8" t="s">
        <v>115</v>
      </c>
      <c r="D205" s="23"/>
      <c r="E205" s="8" t="s">
        <v>85</v>
      </c>
      <c r="F205" s="188">
        <f>[1]AcreSummary!L60</f>
        <v>4.6725806013596504E-3</v>
      </c>
      <c r="G205" s="25"/>
      <c r="H205" s="117"/>
      <c r="I205" s="57"/>
      <c r="J205" s="58">
        <f>[1]Tame!D27</f>
        <v>10.069000000000001</v>
      </c>
      <c r="K205" s="80">
        <f>[1]Tame!E27</f>
        <v>9.3765000000000001</v>
      </c>
      <c r="L205" s="68">
        <f>[1]Tame!F27</f>
        <v>8.7146000000000008</v>
      </c>
      <c r="M205" s="58">
        <f>[1]Tame!G27</f>
        <v>8.2754999999999992</v>
      </c>
      <c r="N205" s="81">
        <f>[1]Tame!H27</f>
        <v>7.68</v>
      </c>
      <c r="O205" s="62">
        <v>8.31</v>
      </c>
      <c r="P205" s="81">
        <f>[1]Tame!I27</f>
        <v>6.98</v>
      </c>
      <c r="Q205" s="82">
        <f>[1]Tame!J27</f>
        <v>6.83</v>
      </c>
      <c r="R205" s="83">
        <v>6.83</v>
      </c>
      <c r="S205" s="84">
        <f>[1]Tame!K27</f>
        <v>6.17</v>
      </c>
      <c r="T205" s="66">
        <f>[1]Tame!L27</f>
        <v>5.03</v>
      </c>
      <c r="U205" s="67">
        <f>[1]Tame!M27</f>
        <v>5.25</v>
      </c>
      <c r="V205" s="68">
        <f>[1]Tame!N27</f>
        <v>0.18</v>
      </c>
      <c r="W205" s="68">
        <f>[1]Tame!O27</f>
        <v>-2.34</v>
      </c>
      <c r="X205" s="68">
        <v>-3.17</v>
      </c>
      <c r="Y205" s="68">
        <v>-4.26</v>
      </c>
      <c r="Z205" s="68">
        <v>-4.29</v>
      </c>
      <c r="AA205" s="68">
        <v>-2.81</v>
      </c>
      <c r="AB205" s="68">
        <v>-0.71</v>
      </c>
      <c r="AC205" s="68">
        <v>0</v>
      </c>
      <c r="AD205" s="68">
        <v>3</v>
      </c>
      <c r="AE205" s="68">
        <v>6.11</v>
      </c>
      <c r="AF205" s="68">
        <v>7.51</v>
      </c>
      <c r="AG205" s="69">
        <v>9.08</v>
      </c>
      <c r="AH205" s="70">
        <v>10.67</v>
      </c>
      <c r="AI205" s="70">
        <v>10.81</v>
      </c>
      <c r="AJ205" s="70">
        <v>10.75</v>
      </c>
      <c r="AK205" s="8">
        <f>ROUND(J205/VLOOKUP($C205,CapRate,2),0)</f>
        <v>66</v>
      </c>
      <c r="AL205" s="8">
        <f>ROUND(K205/VLOOKUP($C205,CapRate,3),0)</f>
        <v>62</v>
      </c>
      <c r="AM205" s="85">
        <f>ROUND(L205/VLOOKUP($C205,CapRate,4),0)</f>
        <v>57</v>
      </c>
      <c r="AN205" s="23">
        <f>ROUND(M205/VLOOKUP($C205,CapRate,5),0)</f>
        <v>55</v>
      </c>
      <c r="AO205" s="85">
        <f t="shared" si="41"/>
        <v>57</v>
      </c>
      <c r="AP205" s="72">
        <f t="shared" si="42"/>
        <v>48</v>
      </c>
      <c r="AQ205" s="71">
        <f t="shared" si="35"/>
        <v>47</v>
      </c>
      <c r="AR205" s="71">
        <f t="shared" si="35"/>
        <v>47</v>
      </c>
      <c r="AS205" s="71">
        <v>0</v>
      </c>
      <c r="AT205" s="71">
        <v>0</v>
      </c>
      <c r="AU205" s="71">
        <v>0</v>
      </c>
      <c r="AV205" s="72">
        <f>IF(ROUND(V205/VLOOKUP($C205,CapRate,12),0)&gt;AV204,V205/VLOOKUP($C205,CapRate,12),AV204)</f>
        <v>39</v>
      </c>
      <c r="AW205" s="72">
        <f>IF(ROUND(W205/VLOOKUP($C205,CapRate,13),0)&gt;AW204,W205/VLOOKUP($C205,CapRate,13),AW204)</f>
        <v>31</v>
      </c>
      <c r="AX205" s="72">
        <f>IF(ROUND(X205/VLOOKUP($C205,CapRate,14),0)&gt;AX204,X205/VLOOKUP($C205,CapRate,14),AX204)</f>
        <v>28.17275747508306</v>
      </c>
      <c r="AY205" s="72">
        <f>IF(ROUND(Y205/VLOOKUP($C205,CapRate,15),0)&gt;AY204,Y205/VLOOKUP($C205,CapRate,15),AY204)</f>
        <v>25.531914893617021</v>
      </c>
      <c r="AZ205" s="72">
        <f>IF(ROUND(Z205/VLOOKUP($C205,CapRate,16),0)&gt;AZ204,Z205/VLOOKUP($C205,CapRate,16),AZ204)</f>
        <v>28.276779773785766</v>
      </c>
      <c r="BA205" s="72">
        <f>IF(ROUND(AA205/VLOOKUP($C205,CapRate,17),0)&gt;BA204,AA205/VLOOKUP($C205,CapRate,17),BA204)</f>
        <v>30.605455755156353</v>
      </c>
      <c r="BB205" s="72">
        <f>IF(ROUND(AB205/VLOOKUP($C205,CapRate,18),0)&gt;BB204,AB205/VLOOKUP($C205,CapRate,18),BB204)</f>
        <v>32.647644326476446</v>
      </c>
      <c r="BC205" s="72">
        <f>IF(ROUND(AC205/VLOOKUP($C205,CapRate,19),0)&gt;BC204,AC205/VLOOKUP($C205,CapRate,19),BC204)</f>
        <v>35.822868473231992</v>
      </c>
      <c r="BD205" s="72">
        <f>IF(ROUND(AD205/VLOOKUP($C205,CapRate,20),0)&gt;BD204,AD205/VLOOKUP($C205,CapRate,20),BD204)</f>
        <v>43.234323432343231</v>
      </c>
      <c r="BE205" s="72">
        <f>IF(ROUND(AE205/VLOOKUP($C205,CapRate,21),0)&gt;BE204,AE205/VLOOKUP($C205,CapRate,21),BE204)</f>
        <v>51.024454725710513</v>
      </c>
      <c r="BF205" s="72">
        <f>IF(ROUND(AF205/VLOOKUP($C205,CapRate,22),0)&gt;BF204,AF205/VLOOKUP($C205,CapRate,22),BF204)</f>
        <v>53.769841269841272</v>
      </c>
      <c r="BG205" s="72">
        <f>IF(ROUND(AG205/VLOOKUP($C205,CapRate,23),0)&gt;BG204,AG205/VLOOKUP($C205,CapRate,23),BG204)</f>
        <v>59.973579920739759</v>
      </c>
      <c r="BH205" s="72">
        <f>IF(ROUND(AH205/VLOOKUP($C205,CapRate,24),0)&gt;BH204,AH205/VLOOKUP($C205,CapRate,24),BH204)</f>
        <v>70.38258575197888</v>
      </c>
      <c r="BI205" s="72">
        <v>71</v>
      </c>
      <c r="BJ205" s="72">
        <v>71</v>
      </c>
      <c r="BK205" s="87">
        <f t="shared" si="38"/>
        <v>0</v>
      </c>
      <c r="BL205" s="76"/>
      <c r="BM205" s="127"/>
      <c r="BN205" s="77"/>
      <c r="BO205" s="77"/>
      <c r="BP205" s="77">
        <f>BK205</f>
        <v>0</v>
      </c>
    </row>
    <row r="206" spans="1:68" ht="15.9" customHeight="1">
      <c r="A206" s="8" t="s">
        <v>110</v>
      </c>
      <c r="B206" s="22"/>
      <c r="C206" s="8" t="s">
        <v>115</v>
      </c>
      <c r="D206" s="23"/>
      <c r="E206" s="8" t="s">
        <v>40</v>
      </c>
      <c r="F206" s="188">
        <f>[1]AcreSummary!J60</f>
        <v>0.60451230578042137</v>
      </c>
      <c r="G206" s="25"/>
      <c r="H206" s="117"/>
      <c r="I206" s="57">
        <f>[1]Dry!E60</f>
        <v>19.34</v>
      </c>
      <c r="J206" s="58">
        <f>[1]Dry!F60</f>
        <v>19.2</v>
      </c>
      <c r="K206" s="80">
        <f>[1]Dry!G60</f>
        <v>18.5</v>
      </c>
      <c r="L206" s="68">
        <f>[1]Dry!H60</f>
        <v>18.18</v>
      </c>
      <c r="M206" s="58">
        <f>[1]Dry!I60</f>
        <v>18.27</v>
      </c>
      <c r="N206" s="81">
        <f>[1]Dry!J60</f>
        <v>18.559999999999999</v>
      </c>
      <c r="O206" s="62">
        <v>18.52</v>
      </c>
      <c r="P206" s="81">
        <f>[1]Dry!K60</f>
        <v>19.5</v>
      </c>
      <c r="Q206" s="82">
        <f>[1]Dry!L60</f>
        <v>20.260000000000002</v>
      </c>
      <c r="R206" s="83">
        <f>Q206*0.95</f>
        <v>19.247</v>
      </c>
      <c r="S206" s="84">
        <f>[1]Dry!N60</f>
        <v>20.56</v>
      </c>
      <c r="T206" s="66">
        <f>[1]Dry!O60</f>
        <v>20.87</v>
      </c>
      <c r="U206" s="67">
        <f>[1]Dry!P60</f>
        <v>20.69</v>
      </c>
      <c r="V206" s="68">
        <f>[1]Dry!Q60</f>
        <v>8.3000000000000007</v>
      </c>
      <c r="W206" s="68">
        <f>[1]Dry!R60</f>
        <v>8.84</v>
      </c>
      <c r="X206" s="68">
        <f>[1]Dry!S60</f>
        <v>9.02</v>
      </c>
      <c r="Y206" s="68">
        <f>[1]Dry!T60</f>
        <v>9.76</v>
      </c>
      <c r="Z206" s="68">
        <v>10.46</v>
      </c>
      <c r="AA206" s="68">
        <v>22.58</v>
      </c>
      <c r="AB206" s="68">
        <v>23.57</v>
      </c>
      <c r="AC206" s="68">
        <v>23.85</v>
      </c>
      <c r="AD206" s="68">
        <v>23</v>
      </c>
      <c r="AE206" s="68">
        <v>21.44</v>
      </c>
      <c r="AF206" s="68">
        <v>20.7</v>
      </c>
      <c r="AG206" s="69">
        <v>18.55</v>
      </c>
      <c r="AH206" s="70">
        <v>14.8</v>
      </c>
      <c r="AI206" s="70">
        <v>12.17</v>
      </c>
      <c r="AJ206" s="70">
        <v>9.75</v>
      </c>
      <c r="AK206" s="8">
        <f t="shared" si="31"/>
        <v>127</v>
      </c>
      <c r="AL206" s="8">
        <f t="shared" si="32"/>
        <v>122</v>
      </c>
      <c r="AM206" s="85">
        <f t="shared" si="33"/>
        <v>119</v>
      </c>
      <c r="AN206" s="23">
        <f t="shared" si="34"/>
        <v>122</v>
      </c>
      <c r="AO206" s="85">
        <f t="shared" si="41"/>
        <v>128</v>
      </c>
      <c r="AP206" s="72">
        <f t="shared" si="42"/>
        <v>135</v>
      </c>
      <c r="AQ206" s="71">
        <f t="shared" si="35"/>
        <v>139</v>
      </c>
      <c r="AR206" s="71">
        <f t="shared" si="35"/>
        <v>132</v>
      </c>
      <c r="AS206" s="71">
        <f t="shared" si="39"/>
        <v>140</v>
      </c>
      <c r="AT206" s="71">
        <f t="shared" si="40"/>
        <v>141</v>
      </c>
      <c r="AU206" s="71">
        <f t="shared" si="36"/>
        <v>139</v>
      </c>
      <c r="AV206" s="72">
        <f t="shared" si="37"/>
        <v>55</v>
      </c>
      <c r="AW206" s="72">
        <f>ROUND(W206/VLOOKUP($C206,CapRate,13),0)</f>
        <v>59</v>
      </c>
      <c r="AX206" s="72">
        <f>ROUND(X206/VLOOKUP($C206,CapRate,14),0)</f>
        <v>60</v>
      </c>
      <c r="AY206" s="72">
        <f>ROUND(Y206/VLOOKUP($C206,CapRate,15),0)</f>
        <v>65</v>
      </c>
      <c r="AZ206" s="72">
        <f>ROUND(Z206/VLOOKUP($C206,CapRate,16),0)</f>
        <v>70</v>
      </c>
      <c r="BA206" s="72">
        <f>ROUND(AA206/VLOOKUP($C206,CapRate,17),0)</f>
        <v>150</v>
      </c>
      <c r="BB206" s="72">
        <f>ROUND(AB206/VLOOKUP($C206,CapRate,18),0)</f>
        <v>156</v>
      </c>
      <c r="BC206" s="72">
        <f>ROUND(AC206/VLOOKUP($C206,CapRate,19),0)</f>
        <v>158</v>
      </c>
      <c r="BD206" s="72">
        <f>ROUND(AD206/VLOOKUP($C206,CapRate,20),0)</f>
        <v>152</v>
      </c>
      <c r="BE206" s="72">
        <f>ROUND(AE206/VLOOKUP($C206,CapRate,21),0)</f>
        <v>142</v>
      </c>
      <c r="BF206" s="72">
        <f>ROUND(AF206/VLOOKUP($C206,CapRate,22),0)</f>
        <v>137</v>
      </c>
      <c r="BG206" s="72">
        <f>ROUND(AG206/VLOOKUP($C206,CapRate,23),0)</f>
        <v>123</v>
      </c>
      <c r="BH206" s="72">
        <f>ROUND(AH206/VLOOKUP($C206,CapRate,24),0)</f>
        <v>98</v>
      </c>
      <c r="BI206" s="72">
        <f>ROUND(AI206/VLOOKUP($C206,CapRate,25),0)</f>
        <v>80</v>
      </c>
      <c r="BJ206" s="72">
        <f>ROUND(AJ206/VLOOKUP($C206,CapRate,26),0)</f>
        <v>64</v>
      </c>
      <c r="BK206" s="87">
        <f t="shared" si="38"/>
        <v>-0.19999999999999996</v>
      </c>
      <c r="BL206" s="76"/>
      <c r="BM206" s="77"/>
      <c r="BN206" s="77">
        <f>BK206</f>
        <v>-0.19999999999999996</v>
      </c>
      <c r="BO206" s="77"/>
      <c r="BP206" s="77"/>
    </row>
    <row r="207" spans="1:68" ht="15.9" customHeight="1" thickBot="1">
      <c r="A207" s="8" t="s">
        <v>110</v>
      </c>
      <c r="B207" s="22"/>
      <c r="C207" s="90" t="s">
        <v>115</v>
      </c>
      <c r="D207" s="91"/>
      <c r="E207" s="90" t="s">
        <v>41</v>
      </c>
      <c r="F207" s="190">
        <f>[1]AcreSummary!K60</f>
        <v>4.8444808851524921E-3</v>
      </c>
      <c r="G207" s="191">
        <f>[1]Irrigated!D66</f>
        <v>100</v>
      </c>
      <c r="H207" s="94">
        <f>[1]Irrigated!E66</f>
        <v>1</v>
      </c>
      <c r="I207" s="95"/>
      <c r="J207" s="96">
        <f>[1]Irrigated!H66</f>
        <v>52.01</v>
      </c>
      <c r="K207" s="97">
        <f>[1]Irrigated!I66</f>
        <v>52.99</v>
      </c>
      <c r="L207" s="98">
        <f>[1]Irrigated!J66</f>
        <v>54.12</v>
      </c>
      <c r="M207" s="96">
        <f>[1]Irrigated!K66</f>
        <v>56.13</v>
      </c>
      <c r="N207" s="99">
        <f>[1]Irrigated!L66</f>
        <v>57.92</v>
      </c>
      <c r="O207" s="100">
        <v>58.29</v>
      </c>
      <c r="P207" s="99">
        <f>[1]Irrigated!M66</f>
        <v>58.25</v>
      </c>
      <c r="Q207" s="101">
        <f>[1]Irrigated!N66</f>
        <v>56.38</v>
      </c>
      <c r="R207" s="102">
        <v>56.38</v>
      </c>
      <c r="S207" s="103">
        <f>[1]Irrigated!O66</f>
        <v>54.85</v>
      </c>
      <c r="T207" s="104">
        <f>[1]Irrigated!P66</f>
        <v>53.4</v>
      </c>
      <c r="U207" s="105">
        <f>[1]Irrigated!Q66</f>
        <v>50.87</v>
      </c>
      <c r="V207" s="98">
        <f>[1]Irrigated!R66</f>
        <v>39.81</v>
      </c>
      <c r="W207" s="98">
        <f>[1]Irrigated!S66</f>
        <v>41.93</v>
      </c>
      <c r="X207" s="98">
        <v>44.57</v>
      </c>
      <c r="Y207" s="98">
        <v>48.91</v>
      </c>
      <c r="Z207" s="98">
        <v>48.11</v>
      </c>
      <c r="AA207" s="98">
        <v>53.2</v>
      </c>
      <c r="AB207" s="98">
        <v>73.84</v>
      </c>
      <c r="AC207" s="98">
        <v>83.2</v>
      </c>
      <c r="AD207" s="98">
        <v>87.45</v>
      </c>
      <c r="AE207" s="98">
        <v>89.74</v>
      </c>
      <c r="AF207" s="98">
        <v>91.3</v>
      </c>
      <c r="AG207" s="106">
        <v>91.36</v>
      </c>
      <c r="AH207" s="107">
        <v>84.49</v>
      </c>
      <c r="AI207" s="107">
        <v>77.17</v>
      </c>
      <c r="AJ207" s="107">
        <v>66.56</v>
      </c>
      <c r="AK207" s="90">
        <f t="shared" si="31"/>
        <v>343</v>
      </c>
      <c r="AL207" s="90">
        <f t="shared" si="32"/>
        <v>350</v>
      </c>
      <c r="AM207" s="108">
        <f t="shared" si="33"/>
        <v>353</v>
      </c>
      <c r="AN207" s="91">
        <f t="shared" si="34"/>
        <v>373</v>
      </c>
      <c r="AO207" s="108">
        <f t="shared" si="41"/>
        <v>402</v>
      </c>
      <c r="AP207" s="109">
        <f t="shared" si="42"/>
        <v>403</v>
      </c>
      <c r="AQ207" s="110">
        <f t="shared" si="35"/>
        <v>387</v>
      </c>
      <c r="AR207" s="110">
        <f t="shared" si="35"/>
        <v>387</v>
      </c>
      <c r="AS207" s="110">
        <f t="shared" si="39"/>
        <v>373</v>
      </c>
      <c r="AT207" s="110">
        <f t="shared" si="40"/>
        <v>361</v>
      </c>
      <c r="AU207" s="110">
        <f t="shared" si="36"/>
        <v>342</v>
      </c>
      <c r="AV207" s="109">
        <f t="shared" si="37"/>
        <v>266</v>
      </c>
      <c r="AW207" s="109">
        <f>ROUND(W207/VLOOKUP($C207,CapRate,13),0)</f>
        <v>279</v>
      </c>
      <c r="AX207" s="109">
        <f>ROUND(X207/VLOOKUP($C207,CapRate,14),0)</f>
        <v>296</v>
      </c>
      <c r="AY207" s="109">
        <f>ROUND(Y207/VLOOKUP($C207,CapRate,15),0)</f>
        <v>325</v>
      </c>
      <c r="AZ207" s="109">
        <f>ROUND(Z207/VLOOKUP($C207,CapRate,16),0)</f>
        <v>320</v>
      </c>
      <c r="BA207" s="109">
        <f>ROUND(AA207/VLOOKUP($C207,CapRate,17),0)</f>
        <v>354</v>
      </c>
      <c r="BB207" s="109">
        <f>ROUND(AB207/VLOOKUP($C207,CapRate,18),0)</f>
        <v>490</v>
      </c>
      <c r="BC207" s="109">
        <f>ROUND(AC207/VLOOKUP($C207,CapRate,19),0)</f>
        <v>550</v>
      </c>
      <c r="BD207" s="109">
        <f>ROUND(AD207/VLOOKUP($C207,CapRate,20),0)</f>
        <v>577</v>
      </c>
      <c r="BE207" s="109">
        <f>ROUND(AE207/VLOOKUP($C207,CapRate,21),0)</f>
        <v>593</v>
      </c>
      <c r="BF207" s="109">
        <f>ROUND(AF207/VLOOKUP($C207,CapRate,22),0)</f>
        <v>604</v>
      </c>
      <c r="BG207" s="109">
        <f>ROUND(AG207/VLOOKUP($C207,CapRate,23),0)</f>
        <v>603</v>
      </c>
      <c r="BH207" s="109">
        <f>ROUND(AH207/VLOOKUP($C207,CapRate,24),0)</f>
        <v>557</v>
      </c>
      <c r="BI207" s="109">
        <f>ROUND(AI207/VLOOKUP($C207,CapRate,25),0)</f>
        <v>507</v>
      </c>
      <c r="BJ207" s="109">
        <f>ROUND(AJ207/VLOOKUP($C207,CapRate,26),0)</f>
        <v>437</v>
      </c>
      <c r="BK207" s="193">
        <f t="shared" si="38"/>
        <v>-0.13806706114398426</v>
      </c>
      <c r="BL207" s="114">
        <f>((F204*BK204)+(F205*BK205)+(F206*BK206)+(F207*BK207))</f>
        <v>-0.10965701708649092</v>
      </c>
      <c r="BM207" s="120"/>
      <c r="BN207" s="115"/>
      <c r="BO207" s="115">
        <f>BK207</f>
        <v>-0.13806706114398426</v>
      </c>
      <c r="BP207" s="115"/>
    </row>
    <row r="208" spans="1:68" ht="15.9" customHeight="1" thickTop="1">
      <c r="A208" s="8" t="s">
        <v>110</v>
      </c>
      <c r="B208" s="22"/>
      <c r="C208" s="8" t="s">
        <v>116</v>
      </c>
      <c r="D208" s="23" t="s">
        <v>116</v>
      </c>
      <c r="E208" s="8" t="s">
        <v>39</v>
      </c>
      <c r="F208" s="188">
        <f>[1]AcreSummary!M61</f>
        <v>0.16485307422785933</v>
      </c>
      <c r="G208" s="25"/>
      <c r="H208" s="117"/>
      <c r="I208" s="57">
        <f>[1]Native!E59</f>
        <v>8.33</v>
      </c>
      <c r="J208" s="58">
        <f>[1]Native!F59</f>
        <v>8.0730000000000004</v>
      </c>
      <c r="K208" s="80">
        <f>[1]Native!G59</f>
        <v>7.9480000000000004</v>
      </c>
      <c r="L208" s="68">
        <f>[1]Native!H59</f>
        <v>8.0869999999999997</v>
      </c>
      <c r="M208" s="58">
        <f>[1]Native!I59</f>
        <v>8.3580000000000005</v>
      </c>
      <c r="N208" s="81">
        <f>[1]Native!J59</f>
        <v>8.4600000000000009</v>
      </c>
      <c r="O208" s="62">
        <v>8.49</v>
      </c>
      <c r="P208" s="81">
        <f>[1]Native!K59</f>
        <v>8.5</v>
      </c>
      <c r="Q208" s="82">
        <f>[1]Native!L59</f>
        <v>8.5399999999999991</v>
      </c>
      <c r="R208" s="83">
        <v>8.5399999999999991</v>
      </c>
      <c r="S208" s="84">
        <f>[1]Native!M59</f>
        <v>8.73</v>
      </c>
      <c r="T208" s="66">
        <f>[1]Native!N59</f>
        <v>8.86</v>
      </c>
      <c r="U208" s="67">
        <f>[1]Native!O59</f>
        <v>9.08</v>
      </c>
      <c r="V208" s="67">
        <f>[1]Native!P59</f>
        <v>6.66</v>
      </c>
      <c r="W208" s="67">
        <f>[1]Native!Q59</f>
        <v>5.24</v>
      </c>
      <c r="X208" s="68">
        <v>4.49</v>
      </c>
      <c r="Y208" s="68">
        <v>3.79</v>
      </c>
      <c r="Z208" s="68">
        <v>3.91</v>
      </c>
      <c r="AA208" s="68">
        <v>3.94</v>
      </c>
      <c r="AB208" s="68">
        <v>3.87</v>
      </c>
      <c r="AC208" s="68">
        <v>3.97</v>
      </c>
      <c r="AD208" s="68">
        <v>4.74</v>
      </c>
      <c r="AE208" s="68">
        <v>5.88</v>
      </c>
      <c r="AF208" s="68">
        <v>6.43</v>
      </c>
      <c r="AG208" s="69">
        <v>6.87</v>
      </c>
      <c r="AH208" s="70">
        <v>7.31</v>
      </c>
      <c r="AI208" s="70">
        <v>8.0500000000000007</v>
      </c>
      <c r="AJ208" s="70">
        <v>8.2899999999999991</v>
      </c>
      <c r="AK208" s="8">
        <f t="shared" si="31"/>
        <v>54</v>
      </c>
      <c r="AL208" s="8">
        <f t="shared" si="32"/>
        <v>53</v>
      </c>
      <c r="AM208" s="85">
        <f t="shared" si="33"/>
        <v>54</v>
      </c>
      <c r="AN208" s="23">
        <f t="shared" si="34"/>
        <v>57</v>
      </c>
      <c r="AO208" s="85">
        <f t="shared" si="41"/>
        <v>60</v>
      </c>
      <c r="AP208" s="72">
        <f t="shared" si="42"/>
        <v>61</v>
      </c>
      <c r="AQ208" s="71">
        <f t="shared" si="35"/>
        <v>62</v>
      </c>
      <c r="AR208" s="71">
        <f t="shared" si="35"/>
        <v>62</v>
      </c>
      <c r="AS208" s="71">
        <f t="shared" si="39"/>
        <v>63</v>
      </c>
      <c r="AT208" s="71">
        <f t="shared" si="40"/>
        <v>64</v>
      </c>
      <c r="AU208" s="71">
        <f t="shared" si="36"/>
        <v>66</v>
      </c>
      <c r="AV208" s="72">
        <f t="shared" si="37"/>
        <v>48</v>
      </c>
      <c r="AW208" s="72">
        <f>ROUND(W208/VLOOKUP($C208,CapRate,13),0)</f>
        <v>37</v>
      </c>
      <c r="AX208" s="122">
        <f>IF(ROUND(X208/VLOOKUP($C208,CapRate,14),0)&gt;10,X208/VLOOKUP($C208,CapRate,14),10)</f>
        <v>31.934566145092461</v>
      </c>
      <c r="AY208" s="122">
        <f>IF(ROUND(Y208/VLOOKUP($C208,CapRate,15),0)&gt;10,Y208/VLOOKUP($C208,CapRate,15),10)</f>
        <v>26.822363765038922</v>
      </c>
      <c r="AZ208" s="122">
        <f>IF(ROUND(Z208/VLOOKUP($C208,CapRate,16),0)&gt;10,Z208/VLOOKUP($C208,CapRate,16),10)</f>
        <v>27.612994350282488</v>
      </c>
      <c r="BA208" s="122">
        <f>IF(ROUND(AA208/VLOOKUP($C208,CapRate,17),0)&gt;10,AA208/VLOOKUP($C208,CapRate,17),10)</f>
        <v>27.707454289732773</v>
      </c>
      <c r="BB208" s="122">
        <f>IF(ROUND(AB208/VLOOKUP($C208,CapRate,18),0)&gt;10,AB208/VLOOKUP($C208,CapRate,18),10)</f>
        <v>27.119831814996498</v>
      </c>
      <c r="BC208" s="122">
        <f>IF(ROUND(AC208/VLOOKUP($C208,CapRate,19),0)&gt;10,AC208/VLOOKUP($C208,CapRate,19),10)</f>
        <v>27.704117236566642</v>
      </c>
      <c r="BD208" s="122">
        <f>IF(ROUND(AD208/VLOOKUP($C208,CapRate,20),0)&gt;10,AD208/VLOOKUP($C208,CapRate,20),10)</f>
        <v>32.962447844228095</v>
      </c>
      <c r="BE208" s="122">
        <f>IF(ROUND(AE208/VLOOKUP($C208,CapRate,21),0)&gt;10,AE208/VLOOKUP($C208,CapRate,21),10)</f>
        <v>40.776699029126213</v>
      </c>
      <c r="BF208" s="122">
        <f>IF(ROUND(AF208/VLOOKUP($C208,CapRate,22),0)&gt;10,AF208/VLOOKUP($C208,CapRate,22),10)</f>
        <v>44.467496542185337</v>
      </c>
      <c r="BG208" s="122">
        <f>IF(ROUND(AG208/VLOOKUP($C208,CapRate,23),0)&gt;10,AG208/VLOOKUP($C208,CapRate,23),10)</f>
        <v>47.379310344827587</v>
      </c>
      <c r="BH208" s="122">
        <f>IF(ROUND(AH208/VLOOKUP($C208,CapRate,24),0)&gt;10,AH208/VLOOKUP($C208,CapRate,24),10)</f>
        <v>50.309704060564343</v>
      </c>
      <c r="BI208" s="122">
        <f>IF(ROUND(AI208/VLOOKUP($C208,CapRate,25),0)&gt;10,AI208/VLOOKUP($C208,CapRate,25),10)</f>
        <v>55.250514756348664</v>
      </c>
      <c r="BJ208" s="122">
        <f>IF(ROUND(AJ208/VLOOKUP($C208,CapRate,26),0)&gt;10,AJ208/VLOOKUP($C208,CapRate,26),10)</f>
        <v>56.703146374828997</v>
      </c>
      <c r="BK208" s="75">
        <f t="shared" si="38"/>
        <v>2.6291730038830341E-2</v>
      </c>
      <c r="BL208" s="76"/>
      <c r="BM208" s="77">
        <f>BK208</f>
        <v>2.6291730038830341E-2</v>
      </c>
      <c r="BN208" s="77"/>
      <c r="BO208" s="77"/>
      <c r="BP208" s="77"/>
    </row>
    <row r="209" spans="1:68" ht="15.9" customHeight="1">
      <c r="A209" s="8"/>
      <c r="B209" s="22"/>
      <c r="C209" s="8" t="s">
        <v>116</v>
      </c>
      <c r="D209" s="23"/>
      <c r="E209" s="8" t="s">
        <v>85</v>
      </c>
      <c r="F209" s="188">
        <f>[1]AcreSummary!L61</f>
        <v>3.7152047539473217E-2</v>
      </c>
      <c r="G209" s="25"/>
      <c r="H209" s="117"/>
      <c r="I209" s="57"/>
      <c r="J209" s="58">
        <f>[1]Tame!D28</f>
        <v>10.034700000000001</v>
      </c>
      <c r="K209" s="80">
        <f>[1]Tame!E28</f>
        <v>9.6273</v>
      </c>
      <c r="L209" s="68">
        <f>[1]Tame!F28</f>
        <v>9.2847000000000008</v>
      </c>
      <c r="M209" s="58">
        <f>[1]Tame!G28</f>
        <v>9.2350999999999992</v>
      </c>
      <c r="N209" s="81">
        <f>[1]Tame!H28</f>
        <v>8.99</v>
      </c>
      <c r="O209" s="62">
        <v>8.99</v>
      </c>
      <c r="P209" s="81">
        <f>[1]Tame!I28</f>
        <v>8.64</v>
      </c>
      <c r="Q209" s="82">
        <f>[1]Tame!J28</f>
        <v>8.5500000000000007</v>
      </c>
      <c r="R209" s="83">
        <v>8.5500000000000007</v>
      </c>
      <c r="S209" s="84">
        <f>[1]Tame!K28</f>
        <v>8.14</v>
      </c>
      <c r="T209" s="66">
        <f>[1]Tame!L28</f>
        <v>7.54</v>
      </c>
      <c r="U209" s="67">
        <f>[1]Tame!M28</f>
        <v>7.75</v>
      </c>
      <c r="V209" s="68">
        <f>[1]Tame!N28</f>
        <v>2.7</v>
      </c>
      <c r="W209" s="68">
        <f>[1]Tame!O28</f>
        <v>0.16</v>
      </c>
      <c r="X209" s="68">
        <v>-0.81</v>
      </c>
      <c r="Y209" s="68">
        <v>-1.74</v>
      </c>
      <c r="Z209" s="68">
        <v>-1.83</v>
      </c>
      <c r="AA209" s="68">
        <v>-0.43</v>
      </c>
      <c r="AB209" s="68">
        <v>0.96</v>
      </c>
      <c r="AC209" s="68">
        <v>2.72</v>
      </c>
      <c r="AD209" s="68">
        <v>6.29</v>
      </c>
      <c r="AE209" s="68">
        <v>9.52</v>
      </c>
      <c r="AF209" s="68">
        <v>11.22</v>
      </c>
      <c r="AG209" s="69">
        <v>12.93</v>
      </c>
      <c r="AH209" s="70">
        <v>14.68</v>
      </c>
      <c r="AI209" s="70">
        <v>14.94</v>
      </c>
      <c r="AJ209" s="70">
        <v>15.18</v>
      </c>
      <c r="AK209" s="8">
        <f>ROUND(J209/VLOOKUP($C209,CapRate,2),0)</f>
        <v>67</v>
      </c>
      <c r="AL209" s="8">
        <f>ROUND(K209/VLOOKUP($C209,CapRate,3),0)</f>
        <v>64</v>
      </c>
      <c r="AM209" s="85">
        <f>ROUND(L209/VLOOKUP($C209,CapRate,4),0)</f>
        <v>62</v>
      </c>
      <c r="AN209" s="23">
        <f>ROUND(M209/VLOOKUP($C209,CapRate,5),0)</f>
        <v>63</v>
      </c>
      <c r="AO209" s="85">
        <f t="shared" si="41"/>
        <v>64</v>
      </c>
      <c r="AP209" s="72">
        <f t="shared" si="42"/>
        <v>62</v>
      </c>
      <c r="AQ209" s="71">
        <f t="shared" si="35"/>
        <v>62</v>
      </c>
      <c r="AR209" s="71">
        <f t="shared" si="35"/>
        <v>62</v>
      </c>
      <c r="AS209" s="71">
        <f t="shared" si="39"/>
        <v>59</v>
      </c>
      <c r="AT209" s="71">
        <f t="shared" si="40"/>
        <v>55</v>
      </c>
      <c r="AU209" s="71">
        <f t="shared" si="36"/>
        <v>56</v>
      </c>
      <c r="AV209" s="72">
        <f>IF(ROUND(V209/VLOOKUP($C209,CapRate,12),0)&gt;AV208,V209/VLOOKUP($C209,CapRate,12),AV208)</f>
        <v>48</v>
      </c>
      <c r="AW209" s="72">
        <f>IF(ROUND(W209/VLOOKUP($C209,CapRate,13),0)&gt;AW208,W209/VLOOKUP($C209,CapRate,13),AW208)</f>
        <v>37</v>
      </c>
      <c r="AX209" s="72">
        <f>IF(ROUND(X209/VLOOKUP($C209,CapRate,14),0)&gt;AX208,X209/VLOOKUP($C209,CapRate,14),AX208)</f>
        <v>31.934566145092461</v>
      </c>
      <c r="AY209" s="72">
        <f>IF(ROUND(Y209/VLOOKUP($C209,CapRate,15),0)&gt;AY208,Y209/VLOOKUP($C209,CapRate,15),AY208)</f>
        <v>26.822363765038922</v>
      </c>
      <c r="AZ209" s="72">
        <f>IF(ROUND(Z209/VLOOKUP($C209,CapRate,16),0)&gt;AZ208,Z209/VLOOKUP($C209,CapRate,16),AZ208)</f>
        <v>27.612994350282488</v>
      </c>
      <c r="BA209" s="72">
        <f>IF(ROUND(AA209/VLOOKUP($C209,CapRate,17),0)&gt;BA208,AA209/VLOOKUP($C209,CapRate,17),BA208)</f>
        <v>27.707454289732773</v>
      </c>
      <c r="BB209" s="72">
        <f>IF(ROUND(AB209/VLOOKUP($C209,CapRate,18),0)&gt;BB208,AB209/VLOOKUP($C209,CapRate,18),BB208)</f>
        <v>27.119831814996498</v>
      </c>
      <c r="BC209" s="72">
        <f>IF(ROUND(AC209/VLOOKUP($C209,CapRate,19),0)&gt;BC208,AC209/VLOOKUP($C209,CapRate,19),BC208)</f>
        <v>27.704117236566642</v>
      </c>
      <c r="BD209" s="72">
        <f>IF(ROUND(AD209/VLOOKUP($C209,CapRate,20),0)&gt;BD208,AD209/VLOOKUP($C209,CapRate,20),BD208)</f>
        <v>43.741307371349095</v>
      </c>
      <c r="BE209" s="72">
        <f>IF(ROUND(AE209/VLOOKUP($C209,CapRate,21),0)&gt;BE208,AE209/VLOOKUP($C209,CapRate,21),BE208)</f>
        <v>66.019417475728162</v>
      </c>
      <c r="BF209" s="72">
        <f>IF(ROUND(AF209/VLOOKUP($C209,CapRate,22),0)&gt;BF208,AF209/VLOOKUP($C209,CapRate,22),BF208)</f>
        <v>77.593360995850617</v>
      </c>
      <c r="BG209" s="72">
        <f>IF(ROUND(AG209/VLOOKUP($C209,CapRate,23),0)&gt;BG208,AG209/VLOOKUP($C209,CapRate,23),BG208)</f>
        <v>89.172413793103459</v>
      </c>
      <c r="BH209" s="72">
        <f>IF(ROUND(AH209/VLOOKUP($C209,CapRate,24),0)&gt;BH208,AH209/VLOOKUP($C209,CapRate,24),BH208)</f>
        <v>101.03234686854782</v>
      </c>
      <c r="BI209" s="72">
        <f>IF(ROUND(AI209/VLOOKUP($C209,CapRate,25),0)&gt;BI208,AI209/VLOOKUP($C209,CapRate,25),BI208)</f>
        <v>102.53946465339739</v>
      </c>
      <c r="BJ209" s="72">
        <f>IF(ROUND(AJ209/VLOOKUP($C209,CapRate,26),0)&gt;BJ208,AJ209/VLOOKUP($C209,CapRate,26),BJ208)</f>
        <v>103.83036935704514</v>
      </c>
      <c r="BK209" s="87">
        <f t="shared" si="38"/>
        <v>1.258934506837206E-2</v>
      </c>
      <c r="BL209" s="76"/>
      <c r="BM209" s="77"/>
      <c r="BN209" s="77"/>
      <c r="BO209" s="77"/>
      <c r="BP209" s="77">
        <f>BK209</f>
        <v>1.258934506837206E-2</v>
      </c>
    </row>
    <row r="210" spans="1:68" ht="15.9" customHeight="1">
      <c r="A210" s="8" t="s">
        <v>110</v>
      </c>
      <c r="B210" s="22"/>
      <c r="C210" s="8" t="s">
        <v>116</v>
      </c>
      <c r="D210" s="23"/>
      <c r="E210" s="8" t="s">
        <v>40</v>
      </c>
      <c r="F210" s="188">
        <f>[1]AcreSummary!J61</f>
        <v>0.67721136980800967</v>
      </c>
      <c r="G210" s="25"/>
      <c r="H210" s="117"/>
      <c r="I210" s="57">
        <f>[1]Dry!E61</f>
        <v>21.89</v>
      </c>
      <c r="J210" s="58">
        <f>[1]Dry!F61</f>
        <v>21.24</v>
      </c>
      <c r="K210" s="80">
        <f>[1]Dry!G61</f>
        <v>21.76</v>
      </c>
      <c r="L210" s="68">
        <f>[1]Dry!H61</f>
        <v>22.65</v>
      </c>
      <c r="M210" s="58">
        <f>[1]Dry!I61</f>
        <v>23.97</v>
      </c>
      <c r="N210" s="81">
        <f>[1]Dry!J61</f>
        <v>25.28</v>
      </c>
      <c r="O210" s="62">
        <v>25.3</v>
      </c>
      <c r="P210" s="81">
        <f>[1]Dry!K61</f>
        <v>26.41</v>
      </c>
      <c r="Q210" s="82">
        <f>[1]Dry!L61</f>
        <v>27.31</v>
      </c>
      <c r="R210" s="83">
        <f>Q210*0.95</f>
        <v>25.944499999999998</v>
      </c>
      <c r="S210" s="84">
        <f>[1]Dry!N61</f>
        <v>27.59</v>
      </c>
      <c r="T210" s="66">
        <f>[1]Dry!O61</f>
        <v>27.81</v>
      </c>
      <c r="U210" s="67">
        <f>[1]Dry!P61</f>
        <v>27.05</v>
      </c>
      <c r="V210" s="68">
        <f>[1]Dry!Q61</f>
        <v>11.29</v>
      </c>
      <c r="W210" s="68">
        <f>[1]Dry!R61</f>
        <v>12.61</v>
      </c>
      <c r="X210" s="68">
        <f>[1]Dry!S61</f>
        <v>14.05</v>
      </c>
      <c r="Y210" s="68">
        <f>[1]Dry!T61</f>
        <v>16.350000000000001</v>
      </c>
      <c r="Z210" s="68">
        <v>18.7</v>
      </c>
      <c r="AA210" s="68">
        <v>42.55</v>
      </c>
      <c r="AB210" s="68">
        <v>46.71</v>
      </c>
      <c r="AC210" s="68">
        <v>49.24</v>
      </c>
      <c r="AD210" s="68">
        <v>49.43</v>
      </c>
      <c r="AE210" s="68">
        <v>48.7</v>
      </c>
      <c r="AF210" s="68">
        <v>48.34</v>
      </c>
      <c r="AG210" s="69">
        <v>47.5</v>
      </c>
      <c r="AH210" s="70">
        <v>43.45</v>
      </c>
      <c r="AI210" s="70">
        <v>37.56</v>
      </c>
      <c r="AJ210" s="70">
        <v>33.6</v>
      </c>
      <c r="AK210" s="8">
        <f t="shared" si="31"/>
        <v>141</v>
      </c>
      <c r="AL210" s="8">
        <f t="shared" si="32"/>
        <v>145</v>
      </c>
      <c r="AM210" s="85">
        <f t="shared" si="33"/>
        <v>150</v>
      </c>
      <c r="AN210" s="23">
        <f t="shared" si="34"/>
        <v>163</v>
      </c>
      <c r="AO210" s="85">
        <f t="shared" si="41"/>
        <v>180</v>
      </c>
      <c r="AP210" s="72">
        <f t="shared" si="42"/>
        <v>191</v>
      </c>
      <c r="AQ210" s="71">
        <f t="shared" si="35"/>
        <v>197</v>
      </c>
      <c r="AR210" s="71">
        <f t="shared" si="35"/>
        <v>187</v>
      </c>
      <c r="AS210" s="71">
        <f t="shared" si="39"/>
        <v>199</v>
      </c>
      <c r="AT210" s="71">
        <f t="shared" si="40"/>
        <v>201</v>
      </c>
      <c r="AU210" s="71">
        <f t="shared" si="36"/>
        <v>196</v>
      </c>
      <c r="AV210" s="72">
        <f t="shared" si="37"/>
        <v>81</v>
      </c>
      <c r="AW210" s="72">
        <f>ROUND(W210/VLOOKUP($C210,CapRate,13),0)</f>
        <v>90</v>
      </c>
      <c r="AX210" s="72">
        <f>ROUND(X210/VLOOKUP($C210,CapRate,14),0)</f>
        <v>100</v>
      </c>
      <c r="AY210" s="72">
        <f>ROUND(Y210/VLOOKUP($C210,CapRate,15),0)</f>
        <v>116</v>
      </c>
      <c r="AZ210" s="72">
        <f>ROUND(Z210/VLOOKUP($C210,CapRate,16),0)</f>
        <v>132</v>
      </c>
      <c r="BA210" s="72">
        <f>ROUND(AA210/VLOOKUP($C210,CapRate,17),0)</f>
        <v>299</v>
      </c>
      <c r="BB210" s="72">
        <f>ROUND(AB210/VLOOKUP($C210,CapRate,18),0)</f>
        <v>327</v>
      </c>
      <c r="BC210" s="72">
        <f>ROUND(AC210/VLOOKUP($C210,CapRate,19),0)</f>
        <v>344</v>
      </c>
      <c r="BD210" s="72">
        <f>ROUND(AD210/VLOOKUP($C210,CapRate,20),0)</f>
        <v>344</v>
      </c>
      <c r="BE210" s="72">
        <f>ROUND(AE210/VLOOKUP($C210,CapRate,21),0)</f>
        <v>338</v>
      </c>
      <c r="BF210" s="72">
        <f>ROUND(AF210/VLOOKUP($C210,CapRate,22),0)</f>
        <v>334</v>
      </c>
      <c r="BG210" s="72">
        <f>ROUND(AG210/VLOOKUP($C210,CapRate,23),0)</f>
        <v>328</v>
      </c>
      <c r="BH210" s="72">
        <f>ROUND(AH210/VLOOKUP($C210,CapRate,24),0)</f>
        <v>299</v>
      </c>
      <c r="BI210" s="72">
        <f>ROUND(AI210/VLOOKUP($C210,CapRate,25),0)</f>
        <v>258</v>
      </c>
      <c r="BJ210" s="72">
        <f>ROUND(AJ210/VLOOKUP($C210,CapRate,26),0)</f>
        <v>230</v>
      </c>
      <c r="BK210" s="87">
        <f t="shared" si="38"/>
        <v>-0.10852713178294571</v>
      </c>
      <c r="BL210" s="76"/>
      <c r="BM210" s="77"/>
      <c r="BN210" s="77">
        <f>BK210</f>
        <v>-0.10852713178294571</v>
      </c>
      <c r="BO210" s="77"/>
      <c r="BP210" s="77"/>
    </row>
    <row r="211" spans="1:68" ht="15.9" customHeight="1" thickBot="1">
      <c r="A211" s="8" t="s">
        <v>110</v>
      </c>
      <c r="B211" s="22"/>
      <c r="C211" s="90" t="s">
        <v>116</v>
      </c>
      <c r="D211" s="91"/>
      <c r="E211" s="90" t="s">
        <v>41</v>
      </c>
      <c r="F211" s="190">
        <f>[1]AcreSummary!K61</f>
        <v>0.12078350842465782</v>
      </c>
      <c r="G211" s="191">
        <f>[1]Irrigated!D67</f>
        <v>100</v>
      </c>
      <c r="H211" s="94">
        <f>[1]Irrigated!E67</f>
        <v>0.79</v>
      </c>
      <c r="I211" s="95"/>
      <c r="J211" s="96">
        <f>[1]Irrigated!H67</f>
        <v>44.28</v>
      </c>
      <c r="K211" s="97">
        <f>[1]Irrigated!I67</f>
        <v>45.66</v>
      </c>
      <c r="L211" s="98">
        <f>[1]Irrigated!J67</f>
        <v>47.58</v>
      </c>
      <c r="M211" s="96">
        <f>[1]Irrigated!K67</f>
        <v>50.38</v>
      </c>
      <c r="N211" s="99">
        <f>[1]Irrigated!L67</f>
        <v>53.06</v>
      </c>
      <c r="O211" s="100">
        <v>50.65</v>
      </c>
      <c r="P211" s="99">
        <f>[1]Irrigated!M67</f>
        <v>54.29</v>
      </c>
      <c r="Q211" s="101">
        <f>[1]Irrigated!N67</f>
        <v>52.48</v>
      </c>
      <c r="R211" s="102">
        <v>52.48</v>
      </c>
      <c r="S211" s="103">
        <f>[1]Irrigated!O67</f>
        <v>51</v>
      </c>
      <c r="T211" s="104">
        <f>[1]Irrigated!P67</f>
        <v>49.62</v>
      </c>
      <c r="U211" s="105">
        <f>[1]Irrigated!Q67</f>
        <v>46.63</v>
      </c>
      <c r="V211" s="98">
        <f>[1]Irrigated!R67</f>
        <v>30.83</v>
      </c>
      <c r="W211" s="98">
        <f>[1]Irrigated!S67</f>
        <v>31.21</v>
      </c>
      <c r="X211" s="98">
        <v>31.8</v>
      </c>
      <c r="Y211" s="98">
        <v>34.590000000000003</v>
      </c>
      <c r="Z211" s="98">
        <v>39.130000000000003</v>
      </c>
      <c r="AA211" s="98">
        <v>42.45</v>
      </c>
      <c r="AB211" s="98">
        <v>50.72</v>
      </c>
      <c r="AC211" s="98">
        <v>57.29</v>
      </c>
      <c r="AD211" s="98">
        <v>59.44</v>
      </c>
      <c r="AE211" s="98">
        <v>60.32</v>
      </c>
      <c r="AF211" s="98">
        <v>61.12</v>
      </c>
      <c r="AG211" s="106">
        <v>60.93</v>
      </c>
      <c r="AH211" s="107">
        <v>54.5</v>
      </c>
      <c r="AI211" s="107">
        <v>61.51</v>
      </c>
      <c r="AJ211" s="107">
        <v>51.12</v>
      </c>
      <c r="AK211" s="90">
        <f t="shared" si="31"/>
        <v>295</v>
      </c>
      <c r="AL211" s="90">
        <f t="shared" si="32"/>
        <v>305</v>
      </c>
      <c r="AM211" s="108">
        <f t="shared" si="33"/>
        <v>316</v>
      </c>
      <c r="AN211" s="91">
        <f t="shared" si="34"/>
        <v>343</v>
      </c>
      <c r="AO211" s="108">
        <f t="shared" si="41"/>
        <v>361</v>
      </c>
      <c r="AP211" s="109">
        <f t="shared" si="42"/>
        <v>393</v>
      </c>
      <c r="AQ211" s="110">
        <f t="shared" si="35"/>
        <v>379</v>
      </c>
      <c r="AR211" s="110">
        <f t="shared" si="35"/>
        <v>379</v>
      </c>
      <c r="AS211" s="110">
        <f t="shared" si="39"/>
        <v>369</v>
      </c>
      <c r="AT211" s="110">
        <f t="shared" si="40"/>
        <v>359</v>
      </c>
      <c r="AU211" s="110">
        <f t="shared" si="36"/>
        <v>338</v>
      </c>
      <c r="AV211" s="109">
        <f t="shared" si="37"/>
        <v>220</v>
      </c>
      <c r="AW211" s="109">
        <f>ROUND(W211/VLOOKUP($C211,CapRate,13),0)</f>
        <v>222</v>
      </c>
      <c r="AX211" s="109">
        <f>ROUND(X211/VLOOKUP($C211,CapRate,14),0)</f>
        <v>226</v>
      </c>
      <c r="AY211" s="109">
        <f>ROUND(Y211/VLOOKUP($C211,CapRate,15),0)</f>
        <v>245</v>
      </c>
      <c r="AZ211" s="109">
        <f>ROUND(Z211/VLOOKUP($C211,CapRate,16),0)</f>
        <v>276</v>
      </c>
      <c r="BA211" s="109">
        <f>ROUND(AA211/VLOOKUP($C211,CapRate,17),0)</f>
        <v>299</v>
      </c>
      <c r="BB211" s="109">
        <f>ROUND(AB211/VLOOKUP($C211,CapRate,18),0)</f>
        <v>355</v>
      </c>
      <c r="BC211" s="109">
        <f>ROUND(AC211/VLOOKUP($C211,CapRate,19),0)</f>
        <v>400</v>
      </c>
      <c r="BD211" s="109">
        <f>ROUND(AD211/VLOOKUP($C211,CapRate,20),0)</f>
        <v>413</v>
      </c>
      <c r="BE211" s="109">
        <f>ROUND(AE211/VLOOKUP($C211,CapRate,21),0)</f>
        <v>418</v>
      </c>
      <c r="BF211" s="109">
        <f>ROUND(AF211/VLOOKUP($C211,CapRate,22),0)</f>
        <v>423</v>
      </c>
      <c r="BG211" s="109">
        <f>ROUND(AG211/VLOOKUP($C211,CapRate,23),0)</f>
        <v>420</v>
      </c>
      <c r="BH211" s="109">
        <f>ROUND(AH211/VLOOKUP($C211,CapRate,24),0)</f>
        <v>375</v>
      </c>
      <c r="BI211" s="109">
        <f>ROUND(AI211/VLOOKUP($C211,CapRate,25),0)</f>
        <v>422</v>
      </c>
      <c r="BJ211" s="109">
        <f>ROUND(AJ211/VLOOKUP($C211,CapRate,26),0)</f>
        <v>350</v>
      </c>
      <c r="BK211" s="193">
        <f t="shared" si="38"/>
        <v>-0.17061611374407581</v>
      </c>
      <c r="BL211" s="114">
        <f>((F208*BK208)+(F209*BK209)+(F210*BK210)+(F211*BK211))</f>
        <v>-8.9301427917711867E-2</v>
      </c>
      <c r="BM211" s="120"/>
      <c r="BN211" s="115"/>
      <c r="BO211" s="115">
        <f>BK211</f>
        <v>-0.17061611374407581</v>
      </c>
      <c r="BP211" s="115"/>
    </row>
    <row r="212" spans="1:68" ht="15.9" customHeight="1" thickTop="1">
      <c r="A212" s="8" t="s">
        <v>110</v>
      </c>
      <c r="B212" s="22"/>
      <c r="C212" s="8" t="s">
        <v>117</v>
      </c>
      <c r="D212" s="23" t="s">
        <v>117</v>
      </c>
      <c r="E212" s="8" t="s">
        <v>39</v>
      </c>
      <c r="F212" s="188">
        <f>[1]AcreSummary!M62</f>
        <v>5.8648361851266213E-2</v>
      </c>
      <c r="G212" s="25"/>
      <c r="H212" s="117"/>
      <c r="I212" s="57">
        <f>[1]Native!E60</f>
        <v>9.0299999999999994</v>
      </c>
      <c r="J212" s="58">
        <f>[1]Native!F60</f>
        <v>6.9080000000000004</v>
      </c>
      <c r="K212" s="80">
        <f>[1]Native!G60</f>
        <v>6.8289999999999997</v>
      </c>
      <c r="L212" s="68">
        <f>[1]Native!H60</f>
        <v>6.97</v>
      </c>
      <c r="M212" s="58">
        <f>[1]Native!I60</f>
        <v>7.23</v>
      </c>
      <c r="N212" s="81">
        <f>[1]Native!J60</f>
        <v>7.33</v>
      </c>
      <c r="O212" s="62">
        <v>7.41</v>
      </c>
      <c r="P212" s="81">
        <f>[1]Native!K60</f>
        <v>7.4</v>
      </c>
      <c r="Q212" s="82">
        <f>[1]Native!L60</f>
        <v>7.47</v>
      </c>
      <c r="R212" s="83">
        <v>7.47</v>
      </c>
      <c r="S212" s="84">
        <f>[1]Native!M60</f>
        <v>7.69</v>
      </c>
      <c r="T212" s="66">
        <f>[1]Native!N60</f>
        <v>7.83</v>
      </c>
      <c r="U212" s="67">
        <f>[1]Native!O60</f>
        <v>8.18</v>
      </c>
      <c r="V212" s="67">
        <f>[1]Native!P60</f>
        <v>4.92</v>
      </c>
      <c r="W212" s="67">
        <f>[1]Native!Q60</f>
        <v>3.67</v>
      </c>
      <c r="X212" s="68">
        <v>3.07</v>
      </c>
      <c r="Y212" s="68">
        <v>2.52</v>
      </c>
      <c r="Z212" s="68">
        <v>2.78</v>
      </c>
      <c r="AA212" s="68">
        <v>2.93</v>
      </c>
      <c r="AB212" s="68">
        <v>3.16</v>
      </c>
      <c r="AC212" s="68">
        <v>3.56</v>
      </c>
      <c r="AD212" s="68">
        <v>4.59</v>
      </c>
      <c r="AE212" s="68">
        <v>5.7</v>
      </c>
      <c r="AF212" s="68">
        <v>6.1</v>
      </c>
      <c r="AG212" s="69">
        <v>6.53</v>
      </c>
      <c r="AH212" s="70">
        <v>6.96</v>
      </c>
      <c r="AI212" s="70">
        <v>7.27</v>
      </c>
      <c r="AJ212" s="70">
        <v>7.58</v>
      </c>
      <c r="AK212" s="8">
        <f t="shared" si="31"/>
        <v>47</v>
      </c>
      <c r="AL212" s="8">
        <f t="shared" si="32"/>
        <v>46</v>
      </c>
      <c r="AM212" s="85">
        <f t="shared" si="33"/>
        <v>47</v>
      </c>
      <c r="AN212" s="23">
        <f t="shared" si="34"/>
        <v>49</v>
      </c>
      <c r="AO212" s="85">
        <f t="shared" si="41"/>
        <v>53</v>
      </c>
      <c r="AP212" s="72">
        <f t="shared" si="42"/>
        <v>53</v>
      </c>
      <c r="AQ212" s="71">
        <f t="shared" si="35"/>
        <v>53</v>
      </c>
      <c r="AR212" s="71">
        <f t="shared" si="35"/>
        <v>53</v>
      </c>
      <c r="AS212" s="71">
        <f t="shared" si="39"/>
        <v>54</v>
      </c>
      <c r="AT212" s="71">
        <f t="shared" si="40"/>
        <v>55</v>
      </c>
      <c r="AU212" s="71">
        <f t="shared" si="36"/>
        <v>57</v>
      </c>
      <c r="AV212" s="72">
        <f t="shared" si="37"/>
        <v>34</v>
      </c>
      <c r="AW212" s="72">
        <f>ROUND(W212/VLOOKUP($C212,CapRate,13),0)</f>
        <v>25</v>
      </c>
      <c r="AX212" s="122">
        <f>IF(ROUND(X212/VLOOKUP($C212,CapRate,14),0)&gt;10,X212/VLOOKUP($C212,CapRate,14),10)</f>
        <v>21.187025534851621</v>
      </c>
      <c r="AY212" s="122">
        <f>IF(ROUND(Y212/VLOOKUP($C212,CapRate,15),0)&gt;10,Y212/VLOOKUP($C212,CapRate,15),10)</f>
        <v>17.283950617283949</v>
      </c>
      <c r="AZ212" s="122">
        <f>IF(ROUND(Z212/VLOOKUP($C212,CapRate,16),0)&gt;10,Z212/VLOOKUP($C212,CapRate,16),10)</f>
        <v>19.002050580997945</v>
      </c>
      <c r="BA212" s="122">
        <f>IF(ROUND(AA212/VLOOKUP($C212,CapRate,17),0)&gt;10,AA212/VLOOKUP($C212,CapRate,17),10)</f>
        <v>19.810682893847193</v>
      </c>
      <c r="BB212" s="122">
        <f>IF(ROUND(AB212/VLOOKUP($C212,CapRate,18),0)&gt;10,AB212/VLOOKUP($C212,CapRate,18),10)</f>
        <v>21.222296843519139</v>
      </c>
      <c r="BC212" s="122">
        <f>IF(ROUND(AC212/VLOOKUP($C212,CapRate,19),0)&gt;10,AC212/VLOOKUP($C212,CapRate,19),10)</f>
        <v>23.717521652231845</v>
      </c>
      <c r="BD212" s="122">
        <f>IF(ROUND(AD212/VLOOKUP($C212,CapRate,20),0)&gt;10,AD212/VLOOKUP($C212,CapRate,20),10)</f>
        <v>30.337078651685395</v>
      </c>
      <c r="BE212" s="122">
        <f>IF(ROUND(AE212/VLOOKUP($C212,CapRate,21),0)&gt;10,AE212/VLOOKUP($C212,CapRate,21),10)</f>
        <v>37.426132632961263</v>
      </c>
      <c r="BF212" s="122">
        <f>IF(ROUND(AF212/VLOOKUP($C212,CapRate,22),0)&gt;10,AF212/VLOOKUP($C212,CapRate,22),10)</f>
        <v>39.869281045751634</v>
      </c>
      <c r="BG212" s="122">
        <f>IF(ROUND(AG212/VLOOKUP($C212,CapRate,23),0)&gt;10,AG212/VLOOKUP($C212,CapRate,23),10)</f>
        <v>42.54071661237785</v>
      </c>
      <c r="BH212" s="122">
        <f>IF(ROUND(AH212/VLOOKUP($C212,CapRate,24),0)&gt;10,AH212/VLOOKUP($C212,CapRate,24),10)</f>
        <v>45.253576072821851</v>
      </c>
      <c r="BI212" s="122">
        <f>IF(ROUND(AI212/VLOOKUP($C212,CapRate,25),0)&gt;10,AI212/VLOOKUP($C212,CapRate,25),10)</f>
        <v>47.177157689811814</v>
      </c>
      <c r="BJ212" s="122">
        <f>IF(ROUND(AJ212/VLOOKUP($C212,CapRate,26),0)&gt;10,AJ212/VLOOKUP($C212,CapRate,26),10)</f>
        <v>49.061488673139159</v>
      </c>
      <c r="BK212" s="75">
        <f t="shared" si="38"/>
        <v>3.9941596221560349E-2</v>
      </c>
      <c r="BL212" s="76"/>
      <c r="BM212" s="77">
        <f>BK212</f>
        <v>3.9941596221560349E-2</v>
      </c>
      <c r="BN212" s="77"/>
      <c r="BO212" s="77"/>
      <c r="BP212" s="77"/>
    </row>
    <row r="213" spans="1:68" ht="15.9" customHeight="1">
      <c r="A213" s="8"/>
      <c r="B213" s="22"/>
      <c r="C213" s="8" t="s">
        <v>117</v>
      </c>
      <c r="D213" s="23"/>
      <c r="E213" s="8" t="s">
        <v>85</v>
      </c>
      <c r="F213" s="188">
        <f>[1]AcreSummary!L62</f>
        <v>4.8165413900494239E-3</v>
      </c>
      <c r="G213" s="25"/>
      <c r="H213" s="117"/>
      <c r="I213" s="57"/>
      <c r="J213" s="58">
        <f>[1]Tame!D29</f>
        <v>13.478999999999999</v>
      </c>
      <c r="K213" s="80">
        <f>[1]Tame!E29</f>
        <v>12.715999999999999</v>
      </c>
      <c r="L213" s="68">
        <f>[1]Tame!F29</f>
        <v>12.023</v>
      </c>
      <c r="M213" s="58">
        <f>[1]Tame!G29</f>
        <v>11.6244</v>
      </c>
      <c r="N213" s="81">
        <f>[1]Tame!H29</f>
        <v>10.6</v>
      </c>
      <c r="O213" s="62">
        <v>17.75</v>
      </c>
      <c r="P213" s="81">
        <f>[1]Tame!I29</f>
        <v>9.41</v>
      </c>
      <c r="Q213" s="82">
        <f>[1]Tame!J29</f>
        <v>8.9499999999999993</v>
      </c>
      <c r="R213" s="83">
        <v>8.9499999999999993</v>
      </c>
      <c r="S213" s="84">
        <f>[1]Tame!K29</f>
        <v>7.81</v>
      </c>
      <c r="T213" s="66">
        <f>[1]Tame!L29</f>
        <v>6.18</v>
      </c>
      <c r="U213" s="67">
        <f>[1]Tame!M29</f>
        <v>5.92</v>
      </c>
      <c r="V213" s="68">
        <f>[1]Tame!N29</f>
        <v>0.68</v>
      </c>
      <c r="W213" s="68">
        <f>[1]Tame!O29</f>
        <v>-1.74</v>
      </c>
      <c r="X213" s="68">
        <v>-2.6</v>
      </c>
      <c r="Y213" s="68">
        <v>-3.41</v>
      </c>
      <c r="Z213" s="68">
        <v>-3.4</v>
      </c>
      <c r="AA213" s="68">
        <v>-4.41</v>
      </c>
      <c r="AB213" s="68">
        <v>-3.38</v>
      </c>
      <c r="AC213" s="68">
        <v>0</v>
      </c>
      <c r="AD213" s="68">
        <v>0.84</v>
      </c>
      <c r="AE213" s="68">
        <v>3.21</v>
      </c>
      <c r="AF213" s="68">
        <v>4.59</v>
      </c>
      <c r="AG213" s="69">
        <v>6.04</v>
      </c>
      <c r="AH213" s="70">
        <v>7.5</v>
      </c>
      <c r="AI213" s="70">
        <v>7.55</v>
      </c>
      <c r="AJ213" s="70">
        <v>8.43</v>
      </c>
      <c r="AK213" s="8">
        <f>ROUND(J213/VLOOKUP($C213,CapRate,2),0)</f>
        <v>91</v>
      </c>
      <c r="AL213" s="8">
        <f>ROUND(K213/VLOOKUP($C213,CapRate,3),0)</f>
        <v>86</v>
      </c>
      <c r="AM213" s="85">
        <f>ROUND(L213/VLOOKUP($C213,CapRate,4),0)</f>
        <v>80</v>
      </c>
      <c r="AN213" s="23">
        <f>ROUND(M213/VLOOKUP($C213,CapRate,5),0)</f>
        <v>80</v>
      </c>
      <c r="AO213" s="85">
        <f t="shared" si="41"/>
        <v>126</v>
      </c>
      <c r="AP213" s="72">
        <f t="shared" si="42"/>
        <v>67</v>
      </c>
      <c r="AQ213" s="71">
        <f t="shared" si="35"/>
        <v>63</v>
      </c>
      <c r="AR213" s="71">
        <f t="shared" si="35"/>
        <v>63</v>
      </c>
      <c r="AS213" s="71">
        <v>0</v>
      </c>
      <c r="AT213" s="71">
        <v>0</v>
      </c>
      <c r="AU213" s="71">
        <v>0</v>
      </c>
      <c r="AV213" s="72">
        <f>IF(ROUND(V213/VLOOKUP($C213,CapRate,12),0)&gt;AV212,V213/VLOOKUP($C213,CapRate,12),AV212)</f>
        <v>34</v>
      </c>
      <c r="AW213" s="72">
        <f>IF(ROUND(W213/VLOOKUP($C213,CapRate,13),0)&gt;AW212,W213/VLOOKUP($C213,CapRate,13),AW212)</f>
        <v>25</v>
      </c>
      <c r="AX213" s="72">
        <f>IF(ROUND(X213/VLOOKUP($C213,CapRate,14),0)&gt;AX212,X213/VLOOKUP($C213,CapRate,14),AX212)</f>
        <v>21.187025534851621</v>
      </c>
      <c r="AY213" s="72">
        <f>IF(ROUND(Y213/VLOOKUP($C213,CapRate,15),0)&gt;AY212,Y213/VLOOKUP($C213,CapRate,15),AY212)</f>
        <v>17.283950617283949</v>
      </c>
      <c r="AZ213" s="72">
        <f>IF(ROUND(Z213/VLOOKUP($C213,CapRate,16),0)&gt;AZ212,Z213/VLOOKUP($C213,CapRate,16),AZ212)</f>
        <v>19.002050580997945</v>
      </c>
      <c r="BA213" s="72">
        <f>IF(ROUND(AA213/VLOOKUP($C213,CapRate,17),0)&gt;BA212,AA213/VLOOKUP($C213,CapRate,17),BA212)</f>
        <v>19.810682893847193</v>
      </c>
      <c r="BB213" s="72">
        <f>IF(ROUND(AB213/VLOOKUP($C213,CapRate,18),0)&gt;BB212,AB213/VLOOKUP($C213,CapRate,18),BB212)</f>
        <v>21.222296843519139</v>
      </c>
      <c r="BC213" s="72">
        <f>IF(ROUND(AC213/VLOOKUP($C213,CapRate,19),0)&gt;BC212,AC213/VLOOKUP($C213,CapRate,19),BC212)</f>
        <v>23.717521652231845</v>
      </c>
      <c r="BD213" s="72">
        <f>IF(ROUND(AD213/VLOOKUP($C213,CapRate,20),0)&gt;BD212,AD213/VLOOKUP($C213,CapRate,20),BD212)</f>
        <v>30.337078651685395</v>
      </c>
      <c r="BE213" s="72">
        <f>IF(ROUND(AE213/VLOOKUP($C213,CapRate,21),0)&gt;BE212,AE213/VLOOKUP($C213,CapRate,21),BE212)</f>
        <v>37.426132632961263</v>
      </c>
      <c r="BF213" s="72">
        <f>IF(ROUND(AF213/VLOOKUP($C213,CapRate,22),0)&gt;BF212,AF213/VLOOKUP($C213,CapRate,22),BF212)</f>
        <v>39.869281045751634</v>
      </c>
      <c r="BG213" s="72">
        <f>IF(ROUND(AG213/VLOOKUP($C213,CapRate,23),0)&gt;BG212,AG213/VLOOKUP($C213,CapRate,23),BG212)</f>
        <v>42.54071661237785</v>
      </c>
      <c r="BH213" s="72">
        <f>IF(ROUND(AH213/VLOOKUP($C213,CapRate,24),0)&gt;BH212,AH213/VLOOKUP($C213,CapRate,24),BH212)</f>
        <v>48.764629388816644</v>
      </c>
      <c r="BI213" s="72">
        <f>IF(ROUND(AI213/VLOOKUP($C213,CapRate,25),0)&gt;BI212,AI213/VLOOKUP($C213,CapRate,25),BI212)</f>
        <v>48.994159636599612</v>
      </c>
      <c r="BJ213" s="72">
        <f>IF(ROUND(AJ213/VLOOKUP($C213,CapRate,26),0)&gt;BJ212,AJ213/VLOOKUP($C213,CapRate,26),BJ212)</f>
        <v>54.5631067961165</v>
      </c>
      <c r="BK213" s="87">
        <f t="shared" si="38"/>
        <v>0.11366553076576857</v>
      </c>
      <c r="BL213" s="76"/>
      <c r="BM213" s="77"/>
      <c r="BN213" s="77"/>
      <c r="BO213" s="77"/>
      <c r="BP213" s="77">
        <f>BK213</f>
        <v>0.11366553076576857</v>
      </c>
    </row>
    <row r="214" spans="1:68" ht="15.9" customHeight="1">
      <c r="A214" s="8" t="s">
        <v>110</v>
      </c>
      <c r="B214" s="22"/>
      <c r="C214" s="8" t="s">
        <v>117</v>
      </c>
      <c r="D214" s="23"/>
      <c r="E214" s="8" t="s">
        <v>40</v>
      </c>
      <c r="F214" s="188">
        <f>[1]AcreSummary!J62</f>
        <v>0.87788673490741809</v>
      </c>
      <c r="G214" s="25"/>
      <c r="H214" s="117"/>
      <c r="I214" s="57">
        <f>[1]Dry!E62</f>
        <v>19.07</v>
      </c>
      <c r="J214" s="58">
        <f>[1]Dry!F62</f>
        <v>18.420000000000002</v>
      </c>
      <c r="K214" s="80">
        <f>[1]Dry!G62</f>
        <v>17.93</v>
      </c>
      <c r="L214" s="68">
        <f>[1]Dry!H62</f>
        <v>17.95</v>
      </c>
      <c r="M214" s="58">
        <f>[1]Dry!I62</f>
        <v>18.399999999999999</v>
      </c>
      <c r="N214" s="81">
        <f>[1]Dry!J62</f>
        <v>19.02</v>
      </c>
      <c r="O214" s="62">
        <v>19.059999999999999</v>
      </c>
      <c r="P214" s="81">
        <f>[1]Dry!K62</f>
        <v>20.23</v>
      </c>
      <c r="Q214" s="82">
        <f>[1]Dry!L62</f>
        <v>21.27</v>
      </c>
      <c r="R214" s="83">
        <f>Q214*0.95</f>
        <v>20.206499999999998</v>
      </c>
      <c r="S214" s="84">
        <f>[1]Dry!N62</f>
        <v>21.83</v>
      </c>
      <c r="T214" s="66">
        <f>[1]Dry!O62</f>
        <v>22.34</v>
      </c>
      <c r="U214" s="67">
        <f>[1]Dry!P62</f>
        <v>21.59</v>
      </c>
      <c r="V214" s="68">
        <f>[1]Dry!Q62</f>
        <v>8.18</v>
      </c>
      <c r="W214" s="68">
        <f>[1]Dry!R62</f>
        <v>8.8000000000000007</v>
      </c>
      <c r="X214" s="68">
        <f>[1]Dry!S62</f>
        <v>9.15</v>
      </c>
      <c r="Y214" s="68">
        <f>[1]Dry!T62</f>
        <v>10.5</v>
      </c>
      <c r="Z214" s="68">
        <v>11.68</v>
      </c>
      <c r="AA214" s="68">
        <v>26.26</v>
      </c>
      <c r="AB214" s="68">
        <v>27.85</v>
      </c>
      <c r="AC214" s="68">
        <v>28.43</v>
      </c>
      <c r="AD214" s="68">
        <v>27.98</v>
      </c>
      <c r="AE214" s="68">
        <v>26.76</v>
      </c>
      <c r="AF214" s="68">
        <v>25.88</v>
      </c>
      <c r="AG214" s="69">
        <v>24</v>
      </c>
      <c r="AH214" s="70">
        <v>20.260000000000002</v>
      </c>
      <c r="AI214" s="70">
        <v>16.91</v>
      </c>
      <c r="AJ214" s="70">
        <v>14.19</v>
      </c>
      <c r="AK214" s="8">
        <f t="shared" si="31"/>
        <v>124</v>
      </c>
      <c r="AL214" s="8">
        <f t="shared" si="32"/>
        <v>121</v>
      </c>
      <c r="AM214" s="85">
        <f t="shared" si="33"/>
        <v>120</v>
      </c>
      <c r="AN214" s="23">
        <f t="shared" si="34"/>
        <v>126</v>
      </c>
      <c r="AO214" s="85">
        <f t="shared" si="41"/>
        <v>136</v>
      </c>
      <c r="AP214" s="72">
        <f t="shared" si="42"/>
        <v>145</v>
      </c>
      <c r="AQ214" s="71">
        <f t="shared" si="35"/>
        <v>151</v>
      </c>
      <c r="AR214" s="71">
        <f t="shared" si="35"/>
        <v>143</v>
      </c>
      <c r="AS214" s="71">
        <f t="shared" si="39"/>
        <v>154</v>
      </c>
      <c r="AT214" s="71">
        <f t="shared" si="40"/>
        <v>157</v>
      </c>
      <c r="AU214" s="71">
        <f t="shared" si="36"/>
        <v>151</v>
      </c>
      <c r="AV214" s="72">
        <f t="shared" si="37"/>
        <v>57</v>
      </c>
      <c r="AW214" s="72">
        <f>ROUND(W214/VLOOKUP($C214,CapRate,13),0)</f>
        <v>61</v>
      </c>
      <c r="AX214" s="72">
        <f>ROUND(X214/VLOOKUP($C214,CapRate,14),0)</f>
        <v>63</v>
      </c>
      <c r="AY214" s="72">
        <f>ROUND(Y214/VLOOKUP($C214,CapRate,15),0)</f>
        <v>72</v>
      </c>
      <c r="AZ214" s="72">
        <f>ROUND(Z214/VLOOKUP($C214,CapRate,16),0)</f>
        <v>80</v>
      </c>
      <c r="BA214" s="72">
        <f>ROUND(AA214/VLOOKUP($C214,CapRate,17),0)</f>
        <v>178</v>
      </c>
      <c r="BB214" s="72">
        <f>ROUND(AB214/VLOOKUP($C214,CapRate,18),0)</f>
        <v>187</v>
      </c>
      <c r="BC214" s="72">
        <f>ROUND(AC214/VLOOKUP($C214,CapRate,19),0)</f>
        <v>189</v>
      </c>
      <c r="BD214" s="72">
        <f>ROUND(AD214/VLOOKUP($C214,CapRate,20),0)</f>
        <v>185</v>
      </c>
      <c r="BE214" s="72">
        <f>ROUND(AE214/VLOOKUP($C214,CapRate,21),0)</f>
        <v>176</v>
      </c>
      <c r="BF214" s="72">
        <f>ROUND(AF214/VLOOKUP($C214,CapRate,22),0)</f>
        <v>169</v>
      </c>
      <c r="BG214" s="72">
        <f>ROUND(AG214/VLOOKUP($C214,CapRate,23),0)</f>
        <v>156</v>
      </c>
      <c r="BH214" s="72">
        <f>ROUND(AH214/VLOOKUP($C214,CapRate,24),0)</f>
        <v>132</v>
      </c>
      <c r="BI214" s="72">
        <f>ROUND(AI214/VLOOKUP($C214,CapRate,25),0)</f>
        <v>110</v>
      </c>
      <c r="BJ214" s="72">
        <f>ROUND(AJ214/VLOOKUP($C214,CapRate,26),0)</f>
        <v>92</v>
      </c>
      <c r="BK214" s="87">
        <f t="shared" si="38"/>
        <v>-0.16363636363636369</v>
      </c>
      <c r="BL214" s="76"/>
      <c r="BM214" s="77"/>
      <c r="BN214" s="77">
        <f>BK214</f>
        <v>-0.16363636363636369</v>
      </c>
      <c r="BO214" s="77"/>
      <c r="BP214" s="77"/>
    </row>
    <row r="215" spans="1:68" ht="15.9" customHeight="1" thickBot="1">
      <c r="A215" s="8" t="s">
        <v>110</v>
      </c>
      <c r="B215" s="22"/>
      <c r="C215" s="90" t="s">
        <v>117</v>
      </c>
      <c r="D215" s="91"/>
      <c r="E215" s="90" t="s">
        <v>41</v>
      </c>
      <c r="F215" s="190">
        <f>[1]AcreSummary!K62</f>
        <v>5.8648361851266213E-2</v>
      </c>
      <c r="G215" s="191">
        <f>[1]Irrigated!D68</f>
        <v>100</v>
      </c>
      <c r="H215" s="94">
        <f>[1]Irrigated!E68</f>
        <v>0.9929</v>
      </c>
      <c r="I215" s="95"/>
      <c r="J215" s="96">
        <f>[1]Irrigated!H68</f>
        <v>45.58</v>
      </c>
      <c r="K215" s="97">
        <f>[1]Irrigated!I68</f>
        <v>46</v>
      </c>
      <c r="L215" s="98">
        <f>[1]Irrigated!J68</f>
        <v>47</v>
      </c>
      <c r="M215" s="96">
        <f>[1]Irrigated!K68</f>
        <v>48.87</v>
      </c>
      <c r="N215" s="99">
        <f>[1]Irrigated!L68</f>
        <v>50.6</v>
      </c>
      <c r="O215" s="100">
        <v>49.06</v>
      </c>
      <c r="P215" s="99">
        <f>[1]Irrigated!M68</f>
        <v>50.88</v>
      </c>
      <c r="Q215" s="101">
        <f>[1]Irrigated!N68</f>
        <v>49.96</v>
      </c>
      <c r="R215" s="102">
        <v>49.96</v>
      </c>
      <c r="S215" s="103">
        <f>[1]Irrigated!O68</f>
        <v>49.39</v>
      </c>
      <c r="T215" s="104">
        <f>[1]Irrigated!P68</f>
        <v>48.65</v>
      </c>
      <c r="U215" s="105">
        <f>[1]Irrigated!Q68</f>
        <v>47.63</v>
      </c>
      <c r="V215" s="98">
        <f>[1]Irrigated!R68</f>
        <v>39.799999999999997</v>
      </c>
      <c r="W215" s="98">
        <f>[1]Irrigated!S68</f>
        <v>41.91</v>
      </c>
      <c r="X215" s="98">
        <v>44.53</v>
      </c>
      <c r="Y215" s="98">
        <v>49.7</v>
      </c>
      <c r="Z215" s="98">
        <v>57.28</v>
      </c>
      <c r="AA215" s="98">
        <v>62.82</v>
      </c>
      <c r="AB215" s="98">
        <v>72.819999999999993</v>
      </c>
      <c r="AC215" s="98">
        <v>84.1</v>
      </c>
      <c r="AD215" s="98">
        <v>88.39</v>
      </c>
      <c r="AE215" s="98">
        <v>90.49</v>
      </c>
      <c r="AF215" s="98">
        <v>92.02</v>
      </c>
      <c r="AG215" s="106">
        <v>92.08</v>
      </c>
      <c r="AH215" s="107">
        <v>85.21</v>
      </c>
      <c r="AI215" s="107">
        <v>77.099999999999994</v>
      </c>
      <c r="AJ215" s="107">
        <v>66.489999999999995</v>
      </c>
      <c r="AK215" s="90">
        <f t="shared" si="31"/>
        <v>308</v>
      </c>
      <c r="AL215" s="90">
        <f t="shared" si="32"/>
        <v>310</v>
      </c>
      <c r="AM215" s="108">
        <f t="shared" si="33"/>
        <v>314</v>
      </c>
      <c r="AN215" s="91">
        <f t="shared" si="34"/>
        <v>334</v>
      </c>
      <c r="AO215" s="108">
        <f t="shared" si="41"/>
        <v>349</v>
      </c>
      <c r="AP215" s="109">
        <f t="shared" si="42"/>
        <v>364</v>
      </c>
      <c r="AQ215" s="110">
        <f t="shared" si="35"/>
        <v>354</v>
      </c>
      <c r="AR215" s="110">
        <f t="shared" si="35"/>
        <v>354</v>
      </c>
      <c r="AS215" s="110">
        <f t="shared" si="39"/>
        <v>348</v>
      </c>
      <c r="AT215" s="110">
        <f t="shared" si="40"/>
        <v>342</v>
      </c>
      <c r="AU215" s="110">
        <f t="shared" si="36"/>
        <v>334</v>
      </c>
      <c r="AV215" s="109">
        <f t="shared" si="37"/>
        <v>276</v>
      </c>
      <c r="AW215" s="109">
        <f>ROUND(W215/VLOOKUP($C215,CapRate,13),0)</f>
        <v>290</v>
      </c>
      <c r="AX215" s="109">
        <f>ROUND(X215/VLOOKUP($C215,CapRate,14),0)</f>
        <v>307</v>
      </c>
      <c r="AY215" s="109">
        <f>ROUND(Y215/VLOOKUP($C215,CapRate,15),0)</f>
        <v>341</v>
      </c>
      <c r="AZ215" s="109">
        <f>ROUND(Z215/VLOOKUP($C215,CapRate,16),0)</f>
        <v>392</v>
      </c>
      <c r="BA215" s="109">
        <f>ROUND(AA215/VLOOKUP($C215,CapRate,17),0)</f>
        <v>425</v>
      </c>
      <c r="BB215" s="109">
        <f>ROUND(AB215/VLOOKUP($C215,CapRate,18),0)</f>
        <v>489</v>
      </c>
      <c r="BC215" s="109">
        <f>ROUND(AC215/VLOOKUP($C215,CapRate,19),0)</f>
        <v>560</v>
      </c>
      <c r="BD215" s="109">
        <f>ROUND(AD215/VLOOKUP($C215,CapRate,20),0)</f>
        <v>584</v>
      </c>
      <c r="BE215" s="109">
        <f>ROUND(AE215/VLOOKUP($C215,CapRate,21),0)</f>
        <v>594</v>
      </c>
      <c r="BF215" s="109">
        <f>ROUND(AF215/VLOOKUP($C215,CapRate,22),0)</f>
        <v>601</v>
      </c>
      <c r="BG215" s="109">
        <f>ROUND(AG215/VLOOKUP($C215,CapRate,23),0)</f>
        <v>600</v>
      </c>
      <c r="BH215" s="109">
        <f>ROUND(AH215/VLOOKUP($C215,CapRate,24),0)</f>
        <v>554</v>
      </c>
      <c r="BI215" s="109">
        <f>ROUND(AI215/VLOOKUP($C215,CapRate,25),0)</f>
        <v>500</v>
      </c>
      <c r="BJ215" s="109">
        <f>ROUND(AJ215/VLOOKUP($C215,CapRate,26),0)</f>
        <v>430</v>
      </c>
      <c r="BK215" s="193">
        <f t="shared" si="38"/>
        <v>-0.14000000000000001</v>
      </c>
      <c r="BL215" s="114">
        <f>((F212*BK212)+(F213*BK213)+(F214*BK214)+(F215*BK215))</f>
        <v>-0.14897497972235305</v>
      </c>
      <c r="BM215" s="120"/>
      <c r="BN215" s="115"/>
      <c r="BO215" s="115">
        <f>BK215</f>
        <v>-0.14000000000000001</v>
      </c>
      <c r="BP215" s="115"/>
    </row>
    <row r="216" spans="1:68" ht="15.9" customHeight="1" thickTop="1">
      <c r="A216" s="8" t="s">
        <v>110</v>
      </c>
      <c r="B216" s="22"/>
      <c r="C216" s="8" t="s">
        <v>118</v>
      </c>
      <c r="D216" s="23" t="s">
        <v>118</v>
      </c>
      <c r="E216" s="8" t="s">
        <v>39</v>
      </c>
      <c r="F216" s="188">
        <f>[1]AcreSummary!M63</f>
        <v>0.47190855530266407</v>
      </c>
      <c r="G216" s="25"/>
      <c r="H216" s="117"/>
      <c r="I216" s="57">
        <f>[1]Native!E61</f>
        <v>5.42</v>
      </c>
      <c r="J216" s="58">
        <f>[1]Native!F61</f>
        <v>5.2439999999999998</v>
      </c>
      <c r="K216" s="80">
        <f>[1]Native!G61</f>
        <v>5.1680000000000001</v>
      </c>
      <c r="L216" s="68">
        <f>[1]Native!H61</f>
        <v>5.2619999999999996</v>
      </c>
      <c r="M216" s="58">
        <f>[1]Native!I61</f>
        <v>5.4558999999999997</v>
      </c>
      <c r="N216" s="81">
        <f>[1]Native!J61</f>
        <v>5.5</v>
      </c>
      <c r="O216" s="62">
        <v>5.47</v>
      </c>
      <c r="P216" s="81">
        <f>[1]Native!K61</f>
        <v>6.09</v>
      </c>
      <c r="Q216" s="82">
        <f>[1]Native!L61</f>
        <v>6.16</v>
      </c>
      <c r="R216" s="83">
        <v>5.64</v>
      </c>
      <c r="S216" s="84">
        <f>[1]Native!M61</f>
        <v>6.35</v>
      </c>
      <c r="T216" s="66">
        <f>[1]Native!N61</f>
        <v>6.43</v>
      </c>
      <c r="U216" s="67">
        <f>[1]Native!O61</f>
        <v>6.61</v>
      </c>
      <c r="V216" s="67">
        <f>[1]Native!P61</f>
        <v>3.36</v>
      </c>
      <c r="W216" s="67">
        <f>[1]Native!Q61</f>
        <v>2.13</v>
      </c>
      <c r="X216" s="68">
        <v>1.56</v>
      </c>
      <c r="Y216" s="68">
        <v>1.02</v>
      </c>
      <c r="Z216" s="68">
        <v>1.33</v>
      </c>
      <c r="AA216" s="68">
        <v>1.54</v>
      </c>
      <c r="AB216" s="68">
        <v>1.77</v>
      </c>
      <c r="AC216" s="68">
        <v>2.16</v>
      </c>
      <c r="AD216" s="68">
        <v>3.16</v>
      </c>
      <c r="AE216" s="68">
        <v>4.1399999999999997</v>
      </c>
      <c r="AF216" s="68">
        <v>4.51</v>
      </c>
      <c r="AG216" s="69">
        <v>4.9000000000000004</v>
      </c>
      <c r="AH216" s="70">
        <v>5.3</v>
      </c>
      <c r="AI216" s="70">
        <v>5.53</v>
      </c>
      <c r="AJ216" s="70">
        <v>5.72</v>
      </c>
      <c r="AK216" s="8">
        <f t="shared" si="31"/>
        <v>36</v>
      </c>
      <c r="AL216" s="8">
        <f t="shared" si="32"/>
        <v>35</v>
      </c>
      <c r="AM216" s="85">
        <f t="shared" si="33"/>
        <v>35</v>
      </c>
      <c r="AN216" s="23">
        <f t="shared" si="34"/>
        <v>37</v>
      </c>
      <c r="AO216" s="85">
        <f t="shared" si="41"/>
        <v>39</v>
      </c>
      <c r="AP216" s="216">
        <f t="shared" si="42"/>
        <v>43</v>
      </c>
      <c r="AQ216" s="71">
        <f t="shared" si="35"/>
        <v>44</v>
      </c>
      <c r="AR216" s="71">
        <f t="shared" si="35"/>
        <v>40</v>
      </c>
      <c r="AS216" s="71">
        <f t="shared" si="39"/>
        <v>45</v>
      </c>
      <c r="AT216" s="71">
        <f t="shared" si="40"/>
        <v>45</v>
      </c>
      <c r="AU216" s="71">
        <f t="shared" si="36"/>
        <v>46</v>
      </c>
      <c r="AV216" s="72">
        <f t="shared" si="37"/>
        <v>24</v>
      </c>
      <c r="AW216" s="72">
        <f>ROUND(W216/VLOOKUP($C216,CapRate,13),0)</f>
        <v>15</v>
      </c>
      <c r="AX216" s="122">
        <f>IF(ROUND(X216/VLOOKUP($C216,CapRate,14),0)&gt;10,X216/VLOOKUP($C216,CapRate,14),10)</f>
        <v>10.985915492957748</v>
      </c>
      <c r="AY216" s="122">
        <f>IF(ROUND(Y216/VLOOKUP($C216,CapRate,15),0)&gt;10,Y216/VLOOKUP($C216,CapRate,15),10)</f>
        <v>10</v>
      </c>
      <c r="AZ216" s="122">
        <f>IF(ROUND(Z216/VLOOKUP($C216,CapRate,16),0)&gt;10,Z216/VLOOKUP($C216,CapRate,16),10)</f>
        <v>10</v>
      </c>
      <c r="BA216" s="122">
        <f>IF(ROUND(AA216/VLOOKUP($C216,CapRate,17),0)&gt;10,AA216/VLOOKUP($C216,CapRate,17),10)</f>
        <v>10.716771050800279</v>
      </c>
      <c r="BB216" s="122">
        <f>IF(ROUND(AB216/VLOOKUP($C216,CapRate,18),0)&gt;10,AB216/VLOOKUP($C216,CapRate,18),10)</f>
        <v>12.249134948096886</v>
      </c>
      <c r="BC216" s="122">
        <f>IF(ROUND(AC216/VLOOKUP($C216,CapRate,19),0)&gt;10,AC216/VLOOKUP($C216,CapRate,19),10)</f>
        <v>14.835164835164836</v>
      </c>
      <c r="BD216" s="122">
        <f>IF(ROUND(AD216/VLOOKUP($C216,CapRate,20),0)&gt;10,AD216/VLOOKUP($C216,CapRate,20),10)</f>
        <v>21.511232130701156</v>
      </c>
      <c r="BE216" s="122">
        <f>IF(ROUND(AE216/VLOOKUP($C216,CapRate,21),0)&gt;10,AE216/VLOOKUP($C216,CapRate,21),10)</f>
        <v>27.972972972972972</v>
      </c>
      <c r="BF216" s="122">
        <f>IF(ROUND(AF216/VLOOKUP($C216,CapRate,22),0)&gt;10,AF216/VLOOKUP($C216,CapRate,22),10)</f>
        <v>30.37037037037037</v>
      </c>
      <c r="BG216" s="122">
        <f>IF(ROUND(AG216/VLOOKUP($C216,CapRate,23),0)&gt;10,AG216/VLOOKUP($C216,CapRate,23),10)</f>
        <v>32.863849765258216</v>
      </c>
      <c r="BH216" s="122">
        <f>IF(ROUND(AH216/VLOOKUP($C216,CapRate,24),0)&gt;10,AH216/VLOOKUP($C216,CapRate,24),10)</f>
        <v>35.451505016722408</v>
      </c>
      <c r="BI216" s="122">
        <f>IF(ROUND(AI216/VLOOKUP($C216,CapRate,25),0)&gt;10,AI216/VLOOKUP($C216,CapRate,25),10)</f>
        <v>36.84210526315789</v>
      </c>
      <c r="BJ216" s="122">
        <f>IF(ROUND(AJ216/VLOOKUP($C216,CapRate,26),0)&gt;10,AJ216/VLOOKUP($C216,CapRate,26),10)</f>
        <v>37.931034482758619</v>
      </c>
      <c r="BK216" s="75">
        <f t="shared" si="38"/>
        <v>2.9556650246305605E-2</v>
      </c>
      <c r="BL216" s="76"/>
      <c r="BM216" s="77">
        <f>BK216</f>
        <v>2.9556650246305605E-2</v>
      </c>
      <c r="BN216" s="77"/>
      <c r="BO216" s="77"/>
      <c r="BP216" s="77"/>
    </row>
    <row r="217" spans="1:68" ht="15.9" customHeight="1">
      <c r="A217" s="8"/>
      <c r="B217" s="22"/>
      <c r="C217" s="8" t="s">
        <v>118</v>
      </c>
      <c r="D217" s="23"/>
      <c r="E217" s="8" t="s">
        <v>85</v>
      </c>
      <c r="F217" s="188">
        <f>[1]AcreSummary!L63</f>
        <v>8.8924613201729917E-5</v>
      </c>
      <c r="G217" s="25"/>
      <c r="H217" s="117"/>
      <c r="I217" s="57"/>
      <c r="J217" s="58">
        <f>[1]Tame!D30</f>
        <v>6.6086999999999998</v>
      </c>
      <c r="K217" s="80">
        <f>[1]Tame!E30</f>
        <v>5.6829999999999998</v>
      </c>
      <c r="L217" s="68">
        <f>[1]Tame!F30</f>
        <v>4.7110000000000003</v>
      </c>
      <c r="M217" s="58">
        <f>[1]Tame!G30</f>
        <v>3.8180000000000001</v>
      </c>
      <c r="N217" s="81">
        <f>[1]Tame!H30</f>
        <v>2.79</v>
      </c>
      <c r="O217" s="62">
        <v>5.38</v>
      </c>
      <c r="P217" s="81">
        <f>[1]Tame!I30</f>
        <v>1.74</v>
      </c>
      <c r="Q217" s="82">
        <f>[1]Tame!J30</f>
        <v>1.58</v>
      </c>
      <c r="R217" s="83">
        <v>1.58</v>
      </c>
      <c r="S217" s="84">
        <f>[1]Tame!K30</f>
        <v>0.79</v>
      </c>
      <c r="T217" s="66">
        <f>[1]Tame!L30</f>
        <v>-0.77</v>
      </c>
      <c r="U217" s="67">
        <f>[1]Tame!M30</f>
        <v>-0.6</v>
      </c>
      <c r="V217" s="68">
        <f>[1]Tame!N30</f>
        <v>-5.23</v>
      </c>
      <c r="W217" s="68">
        <f>[1]Tame!O30</f>
        <v>-7.98</v>
      </c>
      <c r="X217" s="68">
        <v>-9.2200000000000006</v>
      </c>
      <c r="Y217" s="68">
        <v>-10.46</v>
      </c>
      <c r="Z217" s="68">
        <v>-10.94</v>
      </c>
      <c r="AA217" s="68">
        <v>-10.26</v>
      </c>
      <c r="AB217" s="68">
        <v>-9.59</v>
      </c>
      <c r="AC217" s="68">
        <v>0</v>
      </c>
      <c r="AD217" s="68">
        <v>0</v>
      </c>
      <c r="AE217" s="68">
        <v>0</v>
      </c>
      <c r="AF217" s="68">
        <v>0</v>
      </c>
      <c r="AG217" s="69">
        <v>0</v>
      </c>
      <c r="AH217" s="70">
        <v>0</v>
      </c>
      <c r="AI217" s="70">
        <v>0</v>
      </c>
      <c r="AJ217" s="70">
        <v>0</v>
      </c>
      <c r="AK217" s="8">
        <f>ROUND(J217/VLOOKUP($C217,CapRate,2),0)</f>
        <v>45</v>
      </c>
      <c r="AL217" s="8">
        <f>ROUND(K217/VLOOKUP($C217,CapRate,3),0)</f>
        <v>39</v>
      </c>
      <c r="AM217" s="85">
        <f>ROUND(L217/VLOOKUP($C217,CapRate,4),0)</f>
        <v>32</v>
      </c>
      <c r="AN217" s="23">
        <f>ROUND(M217/VLOOKUP($C217,CapRate,5),0)</f>
        <v>26</v>
      </c>
      <c r="AO217" s="85">
        <f t="shared" si="41"/>
        <v>38</v>
      </c>
      <c r="AP217" s="72">
        <f t="shared" si="42"/>
        <v>12</v>
      </c>
      <c r="AQ217" s="71">
        <f t="shared" si="35"/>
        <v>11</v>
      </c>
      <c r="AR217" s="71">
        <f t="shared" si="35"/>
        <v>11</v>
      </c>
      <c r="AS217" s="71">
        <v>0</v>
      </c>
      <c r="AT217" s="71">
        <v>0</v>
      </c>
      <c r="AU217" s="71">
        <v>0</v>
      </c>
      <c r="AV217" s="72">
        <f>IF(ROUND(V217/VLOOKUP($C217,CapRate,12),0)&gt;AV216,V217/VLOOKUP($C217,CapRate,12),AV216)</f>
        <v>24</v>
      </c>
      <c r="AW217" s="72">
        <f>IF(ROUND(W217/VLOOKUP($C217,CapRate,13),0)&gt;AW216,W217/VLOOKUP($C217,CapRate,13),AW216)</f>
        <v>15</v>
      </c>
      <c r="AX217" s="72">
        <f>IF(ROUND(X217/VLOOKUP($C217,CapRate,14),0)&gt;AX216,X217/VLOOKUP($C217,CapRate,14),AX216)</f>
        <v>10.985915492957748</v>
      </c>
      <c r="AY217" s="72">
        <f>IF(ROUND(Y217/VLOOKUP($C217,CapRate,15),0)&gt;AY216,Y217/VLOOKUP($C217,CapRate,15),AY216)</f>
        <v>10</v>
      </c>
      <c r="AZ217" s="72">
        <f>IF(ROUND(Z217/VLOOKUP($C217,CapRate,16),0)&gt;AZ216,Z217/VLOOKUP($C217,CapRate,16),AZ216)</f>
        <v>10</v>
      </c>
      <c r="BA217" s="72">
        <f>IF(ROUND(AA217/VLOOKUP($C217,CapRate,17),0)&gt;BA216,AA217/VLOOKUP($C217,CapRate,17),BA216)</f>
        <v>10.716771050800279</v>
      </c>
      <c r="BB217" s="72">
        <f>IF(ROUND(AB217/VLOOKUP($C217,CapRate,18),0)&gt;BB216,AB217/VLOOKUP($C217,CapRate,18),BB216)</f>
        <v>12.249134948096886</v>
      </c>
      <c r="BC217" s="72">
        <f>IF(ROUND(AC217/VLOOKUP($C217,CapRate,19),0)&gt;BC216,AC217/VLOOKUP($C217,CapRate,19),BC216)</f>
        <v>14.835164835164836</v>
      </c>
      <c r="BD217" s="72">
        <f>IF(ROUND(AD217/VLOOKUP($C217,CapRate,20),0)&gt;BD216,AD217/VLOOKUP($C217,CapRate,20),BD216)</f>
        <v>21.511232130701156</v>
      </c>
      <c r="BE217" s="72">
        <f>IF(ROUND(AE217/VLOOKUP($C217,CapRate,21),0)&gt;BE216,AE217/VLOOKUP($C217,CapRate,21),BE216)</f>
        <v>27.972972972972972</v>
      </c>
      <c r="BF217" s="72">
        <f>IF(ROUND(AF217/VLOOKUP($C217,CapRate,22),0)&gt;BF216,AF217/VLOOKUP($C217,CapRate,22),BF216)</f>
        <v>30.37037037037037</v>
      </c>
      <c r="BG217" s="72">
        <f>IF(ROUND(AG217/VLOOKUP($C217,CapRate,23),0)&gt;BG216,AG217/VLOOKUP($C217,CapRate,23),BG216)</f>
        <v>32.863849765258216</v>
      </c>
      <c r="BH217" s="72">
        <f>IF(ROUND(AH217/VLOOKUP($C217,CapRate,24),0)&gt;BH216,AH217/VLOOKUP($C217,CapRate,24),BH216)</f>
        <v>35.451505016722408</v>
      </c>
      <c r="BI217" s="72">
        <f>IF(ROUND(AI217/VLOOKUP($C217,CapRate,25),0)&gt;BI216,AI217/VLOOKUP($C217,CapRate,25),BI216)</f>
        <v>36.84210526315789</v>
      </c>
      <c r="BJ217" s="72">
        <f>IF(ROUND(AJ217/VLOOKUP($C217,CapRate,26),0)&gt;BJ216,AJ217/VLOOKUP($C217,CapRate,26),BJ216)</f>
        <v>37.931034482758619</v>
      </c>
      <c r="BK217" s="87">
        <f t="shared" si="38"/>
        <v>2.9556650246305605E-2</v>
      </c>
      <c r="BL217" s="76"/>
      <c r="BM217" s="77"/>
      <c r="BN217" s="77"/>
      <c r="BO217" s="77"/>
      <c r="BP217" s="77">
        <f>BK217</f>
        <v>2.9556650246305605E-2</v>
      </c>
    </row>
    <row r="218" spans="1:68" ht="15.9" customHeight="1">
      <c r="A218" s="8" t="s">
        <v>110</v>
      </c>
      <c r="B218" s="22"/>
      <c r="C218" s="8" t="s">
        <v>118</v>
      </c>
      <c r="D218" s="23"/>
      <c r="E218" s="8" t="s">
        <v>40</v>
      </c>
      <c r="F218" s="188">
        <f>[1]AcreSummary!J63</f>
        <v>0.41162853685362932</v>
      </c>
      <c r="G218" s="25"/>
      <c r="H218" s="117"/>
      <c r="I218" s="57">
        <f>[1]Dry!E63</f>
        <v>10.58</v>
      </c>
      <c r="J218" s="58">
        <f>[1]Dry!F63</f>
        <v>10.66</v>
      </c>
      <c r="K218" s="80">
        <f>[1]Dry!G63</f>
        <v>10.25</v>
      </c>
      <c r="L218" s="68">
        <f>[1]Dry!H63</f>
        <v>10.130000000000001</v>
      </c>
      <c r="M218" s="58">
        <f>[1]Dry!I63</f>
        <v>10.38</v>
      </c>
      <c r="N218" s="81">
        <f>[1]Dry!J63</f>
        <v>10.88</v>
      </c>
      <c r="O218" s="62">
        <v>10.72</v>
      </c>
      <c r="P218" s="81">
        <f>[1]Dry!K63</f>
        <v>11.78</v>
      </c>
      <c r="Q218" s="82">
        <f>[1]Dry!L63</f>
        <v>12.5</v>
      </c>
      <c r="R218" s="83">
        <f>Q218*0.95</f>
        <v>11.875</v>
      </c>
      <c r="S218" s="84">
        <f>[1]Dry!N63</f>
        <v>12.72</v>
      </c>
      <c r="T218" s="66">
        <f>[1]Dry!O63</f>
        <v>13.09</v>
      </c>
      <c r="U218" s="67">
        <f>[1]Dry!P63</f>
        <v>12.93</v>
      </c>
      <c r="V218" s="68">
        <f>[1]Dry!Q63</f>
        <v>4.9800000000000004</v>
      </c>
      <c r="W218" s="68">
        <f>[1]Dry!R63</f>
        <v>5.82</v>
      </c>
      <c r="X218" s="68">
        <f>[1]Dry!S63</f>
        <v>6.56</v>
      </c>
      <c r="Y218" s="68">
        <f>[1]Dry!T63</f>
        <v>7.87</v>
      </c>
      <c r="Z218" s="68">
        <v>8.98</v>
      </c>
      <c r="AA218" s="68">
        <v>20.25</v>
      </c>
      <c r="AB218" s="68">
        <v>22.06</v>
      </c>
      <c r="AC218" s="68">
        <v>23.22</v>
      </c>
      <c r="AD218" s="68">
        <v>23.16</v>
      </c>
      <c r="AE218" s="68">
        <v>21.95</v>
      </c>
      <c r="AF218" s="68">
        <v>21.01</v>
      </c>
      <c r="AG218" s="69">
        <v>18.8</v>
      </c>
      <c r="AH218" s="70">
        <v>15.63</v>
      </c>
      <c r="AI218" s="70">
        <v>12.4</v>
      </c>
      <c r="AJ218" s="70">
        <v>10.62</v>
      </c>
      <c r="AK218" s="8">
        <f t="shared" si="31"/>
        <v>73</v>
      </c>
      <c r="AL218" s="8">
        <f t="shared" si="32"/>
        <v>70</v>
      </c>
      <c r="AM218" s="85">
        <f t="shared" si="33"/>
        <v>68</v>
      </c>
      <c r="AN218" s="23">
        <f t="shared" si="34"/>
        <v>71</v>
      </c>
      <c r="AO218" s="85">
        <f t="shared" si="41"/>
        <v>76</v>
      </c>
      <c r="AP218" s="72">
        <f t="shared" si="42"/>
        <v>84</v>
      </c>
      <c r="AQ218" s="71">
        <f t="shared" si="35"/>
        <v>89</v>
      </c>
      <c r="AR218" s="71">
        <f t="shared" si="35"/>
        <v>84</v>
      </c>
      <c r="AS218" s="71">
        <f t="shared" si="39"/>
        <v>90</v>
      </c>
      <c r="AT218" s="71">
        <f t="shared" si="40"/>
        <v>92</v>
      </c>
      <c r="AU218" s="71">
        <f t="shared" si="36"/>
        <v>91</v>
      </c>
      <c r="AV218" s="72">
        <f t="shared" si="37"/>
        <v>35</v>
      </c>
      <c r="AW218" s="72">
        <f>ROUND(W218/VLOOKUP($C218,CapRate,13),0)</f>
        <v>41</v>
      </c>
      <c r="AX218" s="72">
        <f>ROUND(X218/VLOOKUP($C218,CapRate,14),0)</f>
        <v>46</v>
      </c>
      <c r="AY218" s="72">
        <f>ROUND(Y218/VLOOKUP($C218,CapRate,15),0)</f>
        <v>55</v>
      </c>
      <c r="AZ218" s="72">
        <f>ROUND(Z218/VLOOKUP($C218,CapRate,16),0)</f>
        <v>63</v>
      </c>
      <c r="BA218" s="72">
        <f>ROUND(AA218/VLOOKUP($C218,CapRate,17),0)</f>
        <v>141</v>
      </c>
      <c r="BB218" s="72">
        <f>ROUND(AB218/VLOOKUP($C218,CapRate,18),0)</f>
        <v>153</v>
      </c>
      <c r="BC218" s="72">
        <f>ROUND(AC218/VLOOKUP($C218,CapRate,19),0)</f>
        <v>159</v>
      </c>
      <c r="BD218" s="72">
        <f>ROUND(AD218/VLOOKUP($C218,CapRate,20),0)</f>
        <v>158</v>
      </c>
      <c r="BE218" s="72">
        <f>ROUND(AE218/VLOOKUP($C218,CapRate,21),0)</f>
        <v>148</v>
      </c>
      <c r="BF218" s="72">
        <f>ROUND(AF218/VLOOKUP($C218,CapRate,22),0)</f>
        <v>141</v>
      </c>
      <c r="BG218" s="72">
        <f>ROUND(AG218/VLOOKUP($C218,CapRate,23),0)</f>
        <v>126</v>
      </c>
      <c r="BH218" s="72">
        <f>ROUND(AH218/VLOOKUP($C218,CapRate,24),0)</f>
        <v>105</v>
      </c>
      <c r="BI218" s="72">
        <f>ROUND(AI218/VLOOKUP($C218,CapRate,25),0)</f>
        <v>83</v>
      </c>
      <c r="BJ218" s="72">
        <f>ROUND(AJ218/VLOOKUP($C218,CapRate,26),0)</f>
        <v>70</v>
      </c>
      <c r="BK218" s="87">
        <f t="shared" si="38"/>
        <v>-0.15662650602409633</v>
      </c>
      <c r="BL218" s="76"/>
      <c r="BM218" s="77"/>
      <c r="BN218" s="77">
        <f>BK218</f>
        <v>-0.15662650602409633</v>
      </c>
      <c r="BO218" s="77"/>
      <c r="BP218" s="77"/>
    </row>
    <row r="219" spans="1:68" ht="15.9" customHeight="1" thickBot="1">
      <c r="A219" s="8" t="s">
        <v>110</v>
      </c>
      <c r="B219" s="22"/>
      <c r="C219" s="90" t="s">
        <v>118</v>
      </c>
      <c r="D219" s="91"/>
      <c r="E219" s="90" t="s">
        <v>41</v>
      </c>
      <c r="F219" s="190">
        <f>[1]AcreSummary!K63</f>
        <v>0.11637398323050478</v>
      </c>
      <c r="G219" s="191">
        <f>[1]Irrigated!D69</f>
        <v>100</v>
      </c>
      <c r="H219" s="94">
        <f>[1]Irrigated!E69</f>
        <v>0.6</v>
      </c>
      <c r="I219" s="95"/>
      <c r="J219" s="96">
        <f>[1]Irrigated!H69</f>
        <v>32.86</v>
      </c>
      <c r="K219" s="97">
        <f>[1]Irrigated!I69</f>
        <v>32.22</v>
      </c>
      <c r="L219" s="98">
        <f>[1]Irrigated!J69</f>
        <v>32.22</v>
      </c>
      <c r="M219" s="96">
        <f>[1]Irrigated!K69</f>
        <v>33.03</v>
      </c>
      <c r="N219" s="99">
        <f>[1]Irrigated!L69</f>
        <v>33.770000000000003</v>
      </c>
      <c r="O219" s="100">
        <v>30.97</v>
      </c>
      <c r="P219" s="99">
        <f>[1]Irrigated!M69</f>
        <v>33.14</v>
      </c>
      <c r="Q219" s="101">
        <f>[1]Irrigated!N69</f>
        <v>33.409999999999997</v>
      </c>
      <c r="R219" s="102">
        <v>33.409999999999997</v>
      </c>
      <c r="S219" s="103">
        <f>[1]Irrigated!O69</f>
        <v>34.04</v>
      </c>
      <c r="T219" s="104">
        <f>[1]Irrigated!P69</f>
        <v>34.76</v>
      </c>
      <c r="U219" s="105">
        <f>[1]Irrigated!Q69</f>
        <v>35.71</v>
      </c>
      <c r="V219" s="98">
        <f>[1]Irrigated!R69</f>
        <v>35.35</v>
      </c>
      <c r="W219" s="98">
        <f>[1]Irrigated!S69</f>
        <v>37.25</v>
      </c>
      <c r="X219" s="98">
        <v>39.58</v>
      </c>
      <c r="Y219" s="98">
        <v>44.32</v>
      </c>
      <c r="Z219" s="98">
        <v>51.87</v>
      </c>
      <c r="AA219" s="98">
        <v>56.75</v>
      </c>
      <c r="AB219" s="98">
        <v>66.94</v>
      </c>
      <c r="AC219" s="98">
        <v>75.78</v>
      </c>
      <c r="AD219" s="98">
        <v>79.67</v>
      </c>
      <c r="AE219" s="98">
        <v>81.66</v>
      </c>
      <c r="AF219" s="98">
        <v>82.98</v>
      </c>
      <c r="AG219" s="106">
        <v>82.97</v>
      </c>
      <c r="AH219" s="107">
        <v>76.23</v>
      </c>
      <c r="AI219" s="107">
        <v>70.09</v>
      </c>
      <c r="AJ219" s="107">
        <v>59.56</v>
      </c>
      <c r="AK219" s="90">
        <f t="shared" si="31"/>
        <v>225</v>
      </c>
      <c r="AL219" s="90">
        <f t="shared" si="32"/>
        <v>220</v>
      </c>
      <c r="AM219" s="108">
        <f t="shared" si="33"/>
        <v>216</v>
      </c>
      <c r="AN219" s="91">
        <f t="shared" si="34"/>
        <v>226</v>
      </c>
      <c r="AO219" s="108">
        <f t="shared" si="41"/>
        <v>220</v>
      </c>
      <c r="AP219" s="109">
        <f t="shared" si="42"/>
        <v>237</v>
      </c>
      <c r="AQ219" s="110">
        <f t="shared" si="35"/>
        <v>237</v>
      </c>
      <c r="AR219" s="110">
        <f t="shared" si="35"/>
        <v>237</v>
      </c>
      <c r="AS219" s="110">
        <f t="shared" si="39"/>
        <v>240</v>
      </c>
      <c r="AT219" s="110">
        <f t="shared" si="40"/>
        <v>245</v>
      </c>
      <c r="AU219" s="110">
        <f t="shared" si="36"/>
        <v>251</v>
      </c>
      <c r="AV219" s="109">
        <f t="shared" si="37"/>
        <v>249</v>
      </c>
      <c r="AW219" s="109">
        <f>ROUND(W219/VLOOKUP($C219,CapRate,13),0)</f>
        <v>263</v>
      </c>
      <c r="AX219" s="109">
        <f>ROUND(X219/VLOOKUP($C219,CapRate,14),0)</f>
        <v>279</v>
      </c>
      <c r="AY219" s="109">
        <f>ROUND(Y219/VLOOKUP($C219,CapRate,15),0)</f>
        <v>312</v>
      </c>
      <c r="AZ219" s="109">
        <f>ROUND(Z219/VLOOKUP($C219,CapRate,16),0)</f>
        <v>364</v>
      </c>
      <c r="BA219" s="109">
        <f>ROUND(AA219/VLOOKUP($C219,CapRate,17),0)</f>
        <v>395</v>
      </c>
      <c r="BB219" s="109">
        <f>ROUND(AB219/VLOOKUP($C219,CapRate,18),0)</f>
        <v>463</v>
      </c>
      <c r="BC219" s="109">
        <f>ROUND(AC219/VLOOKUP($C219,CapRate,19),0)</f>
        <v>520</v>
      </c>
      <c r="BD219" s="109">
        <f>ROUND(AD219/VLOOKUP($C219,CapRate,20),0)</f>
        <v>542</v>
      </c>
      <c r="BE219" s="109">
        <f>ROUND(AE219/VLOOKUP($C219,CapRate,21),0)</f>
        <v>552</v>
      </c>
      <c r="BF219" s="109">
        <f>ROUND(AF219/VLOOKUP($C219,CapRate,22),0)</f>
        <v>559</v>
      </c>
      <c r="BG219" s="109">
        <f>ROUND(AG219/VLOOKUP($C219,CapRate,23),0)</f>
        <v>556</v>
      </c>
      <c r="BH219" s="109">
        <f>ROUND(AH219/VLOOKUP($C219,CapRate,24),0)</f>
        <v>510</v>
      </c>
      <c r="BI219" s="109">
        <f>ROUND(AI219/VLOOKUP($C219,CapRate,25),0)</f>
        <v>467</v>
      </c>
      <c r="BJ219" s="109">
        <f>ROUND(AJ219/VLOOKUP($C219,CapRate,26),0)</f>
        <v>395</v>
      </c>
      <c r="BK219" s="193">
        <f t="shared" si="38"/>
        <v>-0.15417558886509641</v>
      </c>
      <c r="BL219" s="114">
        <f>((F216*BK216)+(F217*BK217)+(F218*BK218)+(F219*BK219))</f>
        <v>-6.8463302469323972E-2</v>
      </c>
      <c r="BM219" s="120"/>
      <c r="BN219" s="115"/>
      <c r="BO219" s="115">
        <f>BK219</f>
        <v>-0.15417558886509641</v>
      </c>
      <c r="BP219" s="115"/>
    </row>
    <row r="220" spans="1:68" ht="15.9" customHeight="1" thickTop="1">
      <c r="A220" s="8" t="s">
        <v>110</v>
      </c>
      <c r="B220" s="22"/>
      <c r="C220" s="8" t="s">
        <v>119</v>
      </c>
      <c r="D220" s="23" t="s">
        <v>119</v>
      </c>
      <c r="E220" s="8" t="s">
        <v>39</v>
      </c>
      <c r="F220" s="188">
        <f>[1]AcreSummary!M64</f>
        <v>0.1540726858429817</v>
      </c>
      <c r="G220" s="25"/>
      <c r="H220" s="117"/>
      <c r="I220" s="57">
        <f>[1]Native!E62</f>
        <v>6.85</v>
      </c>
      <c r="J220" s="58">
        <f>[1]Native!F62</f>
        <v>5.96</v>
      </c>
      <c r="K220" s="80">
        <f>[1]Native!G62</f>
        <v>5.8979999999999997</v>
      </c>
      <c r="L220" s="68">
        <f>[1]Native!H62</f>
        <v>6.0330000000000004</v>
      </c>
      <c r="M220" s="58">
        <f>[1]Native!I62</f>
        <v>6.2770000000000001</v>
      </c>
      <c r="N220" s="81">
        <f>[1]Native!J62</f>
        <v>6.37</v>
      </c>
      <c r="O220" s="62">
        <v>6.22</v>
      </c>
      <c r="P220" s="81">
        <f>[1]Native!K62</f>
        <v>6.45</v>
      </c>
      <c r="Q220" s="82">
        <f>[1]Native!L62</f>
        <v>6.55</v>
      </c>
      <c r="R220" s="83">
        <v>6.55</v>
      </c>
      <c r="S220" s="84">
        <f>[1]Native!M62</f>
        <v>6.77</v>
      </c>
      <c r="T220" s="66">
        <f>[1]Native!N62</f>
        <v>6.92</v>
      </c>
      <c r="U220" s="67">
        <f>[1]Native!O62</f>
        <v>7.08</v>
      </c>
      <c r="V220" s="67">
        <f>[1]Native!P62</f>
        <v>3.85</v>
      </c>
      <c r="W220" s="67">
        <f>[1]Native!Q62</f>
        <v>2.66</v>
      </c>
      <c r="X220" s="68">
        <v>2.12</v>
      </c>
      <c r="Y220" s="68">
        <v>1.64</v>
      </c>
      <c r="Z220" s="68">
        <v>1.97</v>
      </c>
      <c r="AA220" s="68">
        <v>2.23</v>
      </c>
      <c r="AB220" s="68">
        <v>2.39</v>
      </c>
      <c r="AC220" s="68">
        <v>2.78</v>
      </c>
      <c r="AD220" s="68">
        <v>3.78</v>
      </c>
      <c r="AE220" s="68">
        <v>4.87</v>
      </c>
      <c r="AF220" s="68">
        <v>5.27</v>
      </c>
      <c r="AG220" s="69">
        <v>5.68</v>
      </c>
      <c r="AH220" s="70">
        <v>6.1</v>
      </c>
      <c r="AI220" s="70">
        <v>6.36</v>
      </c>
      <c r="AJ220" s="70">
        <v>6.71</v>
      </c>
      <c r="AK220" s="8">
        <f t="shared" si="31"/>
        <v>40</v>
      </c>
      <c r="AL220" s="8">
        <f t="shared" si="32"/>
        <v>39</v>
      </c>
      <c r="AM220" s="85">
        <f t="shared" si="33"/>
        <v>39</v>
      </c>
      <c r="AN220" s="23">
        <f t="shared" si="34"/>
        <v>41</v>
      </c>
      <c r="AO220" s="85">
        <f t="shared" si="41"/>
        <v>42</v>
      </c>
      <c r="AP220" s="72">
        <f t="shared" si="42"/>
        <v>44</v>
      </c>
      <c r="AQ220" s="71">
        <f t="shared" si="35"/>
        <v>44</v>
      </c>
      <c r="AR220" s="71">
        <f t="shared" si="35"/>
        <v>44</v>
      </c>
      <c r="AS220" s="71">
        <f t="shared" si="39"/>
        <v>46</v>
      </c>
      <c r="AT220" s="71">
        <f t="shared" si="40"/>
        <v>47</v>
      </c>
      <c r="AU220" s="71">
        <f t="shared" si="36"/>
        <v>48</v>
      </c>
      <c r="AV220" s="72">
        <f t="shared" si="37"/>
        <v>25</v>
      </c>
      <c r="AW220" s="72">
        <f>ROUND(W220/VLOOKUP($C220,CapRate,13),0)</f>
        <v>17</v>
      </c>
      <c r="AX220" s="122">
        <f>IF(ROUND(X220/VLOOKUP($C220,CapRate,14),0)&gt;10,X220/VLOOKUP($C220,CapRate,14),10)</f>
        <v>13.784135240572173</v>
      </c>
      <c r="AY220" s="122">
        <f>IF(ROUND(Y220/VLOOKUP($C220,CapRate,15),0)&gt;10,Y220/VLOOKUP($C220,CapRate,15),10)</f>
        <v>10.56701030927835</v>
      </c>
      <c r="AZ220" s="122">
        <f>IF(ROUND(Z220/VLOOKUP($C220,CapRate,16),0)&gt;10,Z220/VLOOKUP($C220,CapRate,16),10)</f>
        <v>12.676962676962676</v>
      </c>
      <c r="BA220" s="122">
        <f>IF(ROUND(AA220/VLOOKUP($C220,CapRate,17),0)&gt;10,AA220/VLOOKUP($C220,CapRate,17),10)</f>
        <v>14.258312020460357</v>
      </c>
      <c r="BB220" s="122">
        <f>IF(ROUND(AB220/VLOOKUP($C220,CapRate,18),0)&gt;10,AB220/VLOOKUP($C220,CapRate,18),10)</f>
        <v>15.242346938775512</v>
      </c>
      <c r="BC220" s="122">
        <f>IF(ROUND(AC220/VLOOKUP($C220,CapRate,19),0)&gt;10,AC220/VLOOKUP($C220,CapRate,19),10)</f>
        <v>17.70700636942675</v>
      </c>
      <c r="BD220" s="122">
        <f>IF(ROUND(AD220/VLOOKUP($C220,CapRate,20),0)&gt;10,AD220/VLOOKUP($C220,CapRate,20),10)</f>
        <v>24.09177820267686</v>
      </c>
      <c r="BE220" s="122">
        <f>IF(ROUND(AE220/VLOOKUP($C220,CapRate,21),0)&gt;10,AE220/VLOOKUP($C220,CapRate,21),10)</f>
        <v>31.098339719029376</v>
      </c>
      <c r="BF220" s="122">
        <f>IF(ROUND(AF220/VLOOKUP($C220,CapRate,22),0)&gt;10,AF220/VLOOKUP($C220,CapRate,22),10)</f>
        <v>33.674121405750796</v>
      </c>
      <c r="BG220" s="122">
        <f>IF(ROUND(AG220/VLOOKUP($C220,CapRate,23),0)&gt;10,AG220/VLOOKUP($C220,CapRate,23),10)</f>
        <v>36.270753512132821</v>
      </c>
      <c r="BH220" s="122">
        <f>IF(ROUND(AH220/VLOOKUP($C220,CapRate,24),0)&gt;10,AH220/VLOOKUP($C220,CapRate,24),10)</f>
        <v>38.878266411727211</v>
      </c>
      <c r="BI220" s="122">
        <f>IF(ROUND(AI220/VLOOKUP($C220,CapRate,25),0)&gt;10,AI220/VLOOKUP($C220,CapRate,25),10)</f>
        <v>40.406607369758575</v>
      </c>
      <c r="BJ220" s="122">
        <f>IF(ROUND(AJ220/VLOOKUP($C220,CapRate,26),0)&gt;10,AJ220/VLOOKUP($C220,CapRate,26),10)</f>
        <v>42.549143944197844</v>
      </c>
      <c r="BK220" s="75">
        <f t="shared" si="38"/>
        <v>5.3024411449173137E-2</v>
      </c>
      <c r="BL220" s="76"/>
      <c r="BM220" s="77">
        <f>BK220</f>
        <v>5.3024411449173137E-2</v>
      </c>
      <c r="BN220" s="77"/>
      <c r="BO220" s="77"/>
      <c r="BP220" s="77"/>
    </row>
    <row r="221" spans="1:68" ht="15.9" customHeight="1">
      <c r="A221" s="8"/>
      <c r="B221" s="22"/>
      <c r="C221" s="8" t="s">
        <v>119</v>
      </c>
      <c r="D221" s="23"/>
      <c r="E221" s="8" t="s">
        <v>85</v>
      </c>
      <c r="F221" s="188">
        <f>[1]AcreSummary!L64</f>
        <v>6.812214036241564E-3</v>
      </c>
      <c r="G221" s="25"/>
      <c r="H221" s="117"/>
      <c r="I221" s="57"/>
      <c r="J221" s="58">
        <f>[1]Tame!D31</f>
        <v>6.7744999999999997</v>
      </c>
      <c r="K221" s="80">
        <f>[1]Tame!E31</f>
        <v>5.84</v>
      </c>
      <c r="L221" s="68">
        <f>[1]Tame!F31</f>
        <v>4.8600000000000003</v>
      </c>
      <c r="M221" s="58">
        <f>[1]Tame!G31</f>
        <v>3.9630000000000001</v>
      </c>
      <c r="N221" s="81">
        <f>[1]Tame!H31</f>
        <v>2.93</v>
      </c>
      <c r="O221" s="62">
        <v>5.38</v>
      </c>
      <c r="P221" s="81">
        <f>[1]Tame!I31</f>
        <v>1.87</v>
      </c>
      <c r="Q221" s="82">
        <f>[1]Tame!J31</f>
        <v>1.71</v>
      </c>
      <c r="R221" s="83">
        <v>1.71</v>
      </c>
      <c r="S221" s="84">
        <f>[1]Tame!K31</f>
        <v>0.9</v>
      </c>
      <c r="T221" s="66">
        <f>[1]Tame!L31</f>
        <v>-0.67</v>
      </c>
      <c r="U221" s="67">
        <f>[1]Tame!M31</f>
        <v>-0.5</v>
      </c>
      <c r="V221" s="68">
        <f>[1]Tame!N31</f>
        <v>-5.21</v>
      </c>
      <c r="W221" s="68">
        <f>[1]Tame!O31</f>
        <v>-7.97</v>
      </c>
      <c r="X221" s="68">
        <v>-9.2200000000000006</v>
      </c>
      <c r="Y221" s="68">
        <v>-10.46</v>
      </c>
      <c r="Z221" s="68">
        <v>-10.91</v>
      </c>
      <c r="AA221" s="68">
        <v>-10.220000000000001</v>
      </c>
      <c r="AB221" s="68">
        <v>-9.1999999999999993</v>
      </c>
      <c r="AC221" s="68">
        <v>0</v>
      </c>
      <c r="AD221" s="68">
        <v>0</v>
      </c>
      <c r="AE221" s="68">
        <v>0</v>
      </c>
      <c r="AF221" s="68">
        <v>0</v>
      </c>
      <c r="AG221" s="69">
        <v>0</v>
      </c>
      <c r="AH221" s="70">
        <v>0</v>
      </c>
      <c r="AI221" s="70">
        <v>0</v>
      </c>
      <c r="AJ221" s="70">
        <v>0</v>
      </c>
      <c r="AK221" s="8">
        <f>ROUND(J221/VLOOKUP($C221,CapRate,2),0)</f>
        <v>45</v>
      </c>
      <c r="AL221" s="8">
        <f>ROUND(K221/VLOOKUP($C221,CapRate,3),0)</f>
        <v>39</v>
      </c>
      <c r="AM221" s="85">
        <f>ROUND(L221/VLOOKUP($C221,CapRate,4),0)</f>
        <v>32</v>
      </c>
      <c r="AN221" s="23">
        <f>ROUND(M221/VLOOKUP($C221,CapRate,5),0)</f>
        <v>26</v>
      </c>
      <c r="AO221" s="85">
        <f t="shared" si="41"/>
        <v>37</v>
      </c>
      <c r="AP221" s="72">
        <f t="shared" si="42"/>
        <v>13</v>
      </c>
      <c r="AQ221" s="71">
        <f t="shared" si="35"/>
        <v>12</v>
      </c>
      <c r="AR221" s="71">
        <f t="shared" si="35"/>
        <v>12</v>
      </c>
      <c r="AS221" s="71">
        <v>0</v>
      </c>
      <c r="AT221" s="71">
        <v>0</v>
      </c>
      <c r="AU221" s="71">
        <v>0</v>
      </c>
      <c r="AV221" s="72">
        <f>IF(ROUND(V221/VLOOKUP($C221,CapRate,12),0)&gt;AV220,V221/VLOOKUP($C221,CapRate,12),AV220)</f>
        <v>25</v>
      </c>
      <c r="AW221" s="72">
        <f>IF(ROUND(W221/VLOOKUP($C221,CapRate,13),0)&gt;AW220,W221/VLOOKUP($C221,CapRate,13),AW220)</f>
        <v>17</v>
      </c>
      <c r="AX221" s="72">
        <f>IF(ROUND(X221/VLOOKUP($C221,CapRate,14),0)&gt;AX220,X221/VLOOKUP($C221,CapRate,14),AX220)</f>
        <v>13.784135240572173</v>
      </c>
      <c r="AY221" s="72">
        <f>IF(ROUND(Y221/VLOOKUP($C221,CapRate,15),0)&gt;AY220,Y221/VLOOKUP($C221,CapRate,15),AY220)</f>
        <v>10.56701030927835</v>
      </c>
      <c r="AZ221" s="72">
        <f>IF(ROUND(Z221/VLOOKUP($C221,CapRate,16),0)&gt;AZ220,Z221/VLOOKUP($C221,CapRate,16),AZ220)</f>
        <v>12.676962676962676</v>
      </c>
      <c r="BA221" s="72">
        <f>IF(ROUND(AA221/VLOOKUP($C221,CapRate,17),0)&gt;BA220,AA221/VLOOKUP($C221,CapRate,17),BA220)</f>
        <v>14.258312020460357</v>
      </c>
      <c r="BB221" s="72">
        <f>IF(ROUND(AB221/VLOOKUP($C221,CapRate,18),0)&gt;BB220,AB221/VLOOKUP($C221,CapRate,18),BB220)</f>
        <v>15.242346938775512</v>
      </c>
      <c r="BC221" s="72">
        <f>IF(ROUND(AC221/VLOOKUP($C221,CapRate,19),0)&gt;BC220,AC221/VLOOKUP($C221,CapRate,19),BC220)</f>
        <v>17.70700636942675</v>
      </c>
      <c r="BD221" s="72">
        <f>IF(ROUND(AD221/VLOOKUP($C221,CapRate,20),0)&gt;BD220,AD221/VLOOKUP($C221,CapRate,20),BD220)</f>
        <v>24.09177820267686</v>
      </c>
      <c r="BE221" s="72">
        <f>IF(ROUND(AE221/VLOOKUP($C221,CapRate,21),0)&gt;BE220,AE221/VLOOKUP($C221,CapRate,21),BE220)</f>
        <v>31.098339719029376</v>
      </c>
      <c r="BF221" s="72">
        <f>IF(ROUND(AF221/VLOOKUP($C221,CapRate,22),0)&gt;BF220,AF221/VLOOKUP($C221,CapRate,22),BF220)</f>
        <v>33.674121405750796</v>
      </c>
      <c r="BG221" s="72">
        <f>IF(ROUND(AG221/VLOOKUP($C221,CapRate,23),0)&gt;BG220,AG221/VLOOKUP($C221,CapRate,23),BG220)</f>
        <v>36.270753512132821</v>
      </c>
      <c r="BH221" s="72">
        <f>IF(ROUND(AH221/VLOOKUP($C221,CapRate,24),0)&gt;BH220,AH221/VLOOKUP($C221,CapRate,24),BH220)</f>
        <v>38.878266411727211</v>
      </c>
      <c r="BI221" s="72">
        <f>IF(ROUND(AI221/VLOOKUP($C221,CapRate,25),0)&gt;BI220,AI221/VLOOKUP($C221,CapRate,25),BI220)</f>
        <v>40.406607369758575</v>
      </c>
      <c r="BJ221" s="72">
        <f>IF(ROUND(AJ221/VLOOKUP($C221,CapRate,26),0)&gt;BJ220,AJ221/VLOOKUP($C221,CapRate,26),BJ220)</f>
        <v>42.549143944197844</v>
      </c>
      <c r="BK221" s="87">
        <f t="shared" si="38"/>
        <v>5.3024411449173137E-2</v>
      </c>
      <c r="BL221" s="76"/>
      <c r="BM221" s="77"/>
      <c r="BN221" s="77"/>
      <c r="BO221" s="77"/>
      <c r="BP221" s="77">
        <f>BK221</f>
        <v>5.3024411449173137E-2</v>
      </c>
    </row>
    <row r="222" spans="1:68" ht="15.9" customHeight="1">
      <c r="A222" s="8" t="s">
        <v>110</v>
      </c>
      <c r="B222" s="22"/>
      <c r="C222" s="8" t="s">
        <v>119</v>
      </c>
      <c r="D222" s="23"/>
      <c r="E222" s="8" t="s">
        <v>40</v>
      </c>
      <c r="F222" s="188">
        <f>[1]AcreSummary!J64</f>
        <v>0.6816900179347043</v>
      </c>
      <c r="G222" s="25"/>
      <c r="H222" s="117"/>
      <c r="I222" s="57">
        <f>[1]Dry!E64</f>
        <v>11.89</v>
      </c>
      <c r="J222" s="58">
        <f>[1]Dry!F64</f>
        <v>11.86</v>
      </c>
      <c r="K222" s="80">
        <f>[1]Dry!G64</f>
        <v>11.64</v>
      </c>
      <c r="L222" s="68">
        <f>[1]Dry!H64</f>
        <v>11.87</v>
      </c>
      <c r="M222" s="58">
        <f>[1]Dry!I64</f>
        <v>12.58</v>
      </c>
      <c r="N222" s="81">
        <f>[1]Dry!J64</f>
        <v>13.42</v>
      </c>
      <c r="O222" s="62">
        <v>13.45</v>
      </c>
      <c r="P222" s="81">
        <f>[1]Dry!K64</f>
        <v>15.03</v>
      </c>
      <c r="Q222" s="82">
        <f>[1]Dry!L64</f>
        <v>16.53</v>
      </c>
      <c r="R222" s="83">
        <f>Q222*0.95</f>
        <v>15.7035</v>
      </c>
      <c r="S222" s="84">
        <f>[1]Dry!N64</f>
        <v>17.61</v>
      </c>
      <c r="T222" s="66">
        <f>[1]Dry!O64</f>
        <v>18.63</v>
      </c>
      <c r="U222" s="67">
        <f>[1]Dry!P64</f>
        <v>18.670000000000002</v>
      </c>
      <c r="V222" s="68">
        <f>[1]Dry!Q64</f>
        <v>9.8000000000000007</v>
      </c>
      <c r="W222" s="68">
        <f>[1]Dry!R64</f>
        <v>10.75</v>
      </c>
      <c r="X222" s="68">
        <f>[1]Dry!S64</f>
        <v>12.13</v>
      </c>
      <c r="Y222" s="68">
        <f>[1]Dry!T64</f>
        <v>14.25</v>
      </c>
      <c r="Z222" s="68">
        <v>16.260000000000002</v>
      </c>
      <c r="AA222" s="68">
        <v>27.45</v>
      </c>
      <c r="AB222" s="68">
        <v>29.3</v>
      </c>
      <c r="AC222" s="68">
        <v>30.42</v>
      </c>
      <c r="AD222" s="68">
        <v>30.18</v>
      </c>
      <c r="AE222" s="68">
        <v>28.87</v>
      </c>
      <c r="AF222" s="68">
        <v>26.93</v>
      </c>
      <c r="AG222" s="69">
        <v>23.99</v>
      </c>
      <c r="AH222" s="70">
        <v>20.43</v>
      </c>
      <c r="AI222" s="70">
        <v>16.940000000000001</v>
      </c>
      <c r="AJ222" s="70">
        <v>13.55</v>
      </c>
      <c r="AK222" s="8">
        <f t="shared" si="31"/>
        <v>79</v>
      </c>
      <c r="AL222" s="8">
        <f t="shared" si="32"/>
        <v>77</v>
      </c>
      <c r="AM222" s="85">
        <f t="shared" si="33"/>
        <v>77</v>
      </c>
      <c r="AN222" s="23">
        <f t="shared" si="34"/>
        <v>83</v>
      </c>
      <c r="AO222" s="85">
        <f t="shared" si="41"/>
        <v>92</v>
      </c>
      <c r="AP222" s="72">
        <f t="shared" si="42"/>
        <v>103</v>
      </c>
      <c r="AQ222" s="71">
        <f t="shared" si="35"/>
        <v>112</v>
      </c>
      <c r="AR222" s="71">
        <f t="shared" si="35"/>
        <v>107</v>
      </c>
      <c r="AS222" s="71">
        <f t="shared" si="39"/>
        <v>119</v>
      </c>
      <c r="AT222" s="71">
        <f t="shared" si="40"/>
        <v>125</v>
      </c>
      <c r="AU222" s="71">
        <f t="shared" si="36"/>
        <v>125</v>
      </c>
      <c r="AV222" s="72">
        <f t="shared" si="37"/>
        <v>64</v>
      </c>
      <c r="AW222" s="72">
        <f>ROUND(W222/VLOOKUP($C222,CapRate,13),0)</f>
        <v>70</v>
      </c>
      <c r="AX222" s="72">
        <f>ROUND(X222/VLOOKUP($C222,CapRate,14),0)</f>
        <v>79</v>
      </c>
      <c r="AY222" s="72">
        <f>ROUND(Y222/VLOOKUP($C222,CapRate,15),0)</f>
        <v>92</v>
      </c>
      <c r="AZ222" s="72">
        <f>ROUND(Z222/VLOOKUP($C222,CapRate,16),0)</f>
        <v>105</v>
      </c>
      <c r="BA222" s="72">
        <f>ROUND(AA222/VLOOKUP($C222,CapRate,17),0)</f>
        <v>176</v>
      </c>
      <c r="BB222" s="72">
        <f>ROUND(AB222/VLOOKUP($C222,CapRate,18),0)</f>
        <v>187</v>
      </c>
      <c r="BC222" s="72">
        <f>ROUND(AC222/VLOOKUP($C222,CapRate,19),0)</f>
        <v>194</v>
      </c>
      <c r="BD222" s="72">
        <f>ROUND(AD222/VLOOKUP($C222,CapRate,20),0)</f>
        <v>192</v>
      </c>
      <c r="BE222" s="72">
        <f>ROUND(AE222/VLOOKUP($C222,CapRate,21),0)</f>
        <v>184</v>
      </c>
      <c r="BF222" s="72">
        <f>ROUND(AF222/VLOOKUP($C222,CapRate,22),0)</f>
        <v>172</v>
      </c>
      <c r="BG222" s="72">
        <f>ROUND(AG222/VLOOKUP($C222,CapRate,23),0)</f>
        <v>153</v>
      </c>
      <c r="BH222" s="72">
        <f>ROUND(AH222/VLOOKUP($C222,CapRate,24),0)</f>
        <v>130</v>
      </c>
      <c r="BI222" s="72">
        <f>ROUND(AI222/VLOOKUP($C222,CapRate,25),0)</f>
        <v>108</v>
      </c>
      <c r="BJ222" s="72">
        <f>ROUND(AJ222/VLOOKUP($C222,CapRate,26),0)</f>
        <v>86</v>
      </c>
      <c r="BK222" s="87">
        <f t="shared" si="38"/>
        <v>-0.20370370370370372</v>
      </c>
      <c r="BL222" s="76"/>
      <c r="BM222" s="77"/>
      <c r="BN222" s="77">
        <f>BK222</f>
        <v>-0.20370370370370372</v>
      </c>
      <c r="BO222" s="77"/>
      <c r="BP222" s="77"/>
    </row>
    <row r="223" spans="1:68" ht="15.9" customHeight="1" thickBot="1">
      <c r="A223" s="8" t="s">
        <v>110</v>
      </c>
      <c r="B223" s="22"/>
      <c r="C223" s="90" t="s">
        <v>119</v>
      </c>
      <c r="D223" s="91"/>
      <c r="E223" s="90" t="s">
        <v>41</v>
      </c>
      <c r="F223" s="190">
        <f>[1]AcreSummary!K64</f>
        <v>0.15742508218607237</v>
      </c>
      <c r="G223" s="191">
        <f>[1]Irrigated!D70</f>
        <v>100</v>
      </c>
      <c r="H223" s="94">
        <f>[1]Irrigated!E70</f>
        <v>0.87</v>
      </c>
      <c r="I223" s="95"/>
      <c r="J223" s="96">
        <f>[1]Irrigated!H70</f>
        <v>48.43</v>
      </c>
      <c r="K223" s="97">
        <f>[1]Irrigated!I70</f>
        <v>48.38</v>
      </c>
      <c r="L223" s="98">
        <f>[1]Irrigated!J70</f>
        <v>48.96</v>
      </c>
      <c r="M223" s="96">
        <f>[1]Irrigated!K70</f>
        <v>50.46</v>
      </c>
      <c r="N223" s="99">
        <f>[1]Irrigated!L70</f>
        <v>51.81</v>
      </c>
      <c r="O223" s="100">
        <v>47.55</v>
      </c>
      <c r="P223" s="99">
        <f>[1]Irrigated!M70</f>
        <v>51.72</v>
      </c>
      <c r="Q223" s="101">
        <f>[1]Irrigated!N70</f>
        <v>49.93</v>
      </c>
      <c r="R223" s="102">
        <v>49.93</v>
      </c>
      <c r="S223" s="103">
        <f>[1]Irrigated!O70</f>
        <v>48.47</v>
      </c>
      <c r="T223" s="104">
        <f>[1]Irrigated!P70</f>
        <v>47.1</v>
      </c>
      <c r="U223" s="105">
        <f>[1]Irrigated!Q70</f>
        <v>45.61</v>
      </c>
      <c r="V223" s="98">
        <f>[1]Irrigated!R70</f>
        <v>35.74</v>
      </c>
      <c r="W223" s="98">
        <f>[1]Irrigated!S70</f>
        <v>37.69</v>
      </c>
      <c r="X223" s="98">
        <v>40.08</v>
      </c>
      <c r="Y223" s="98">
        <v>44.32</v>
      </c>
      <c r="Z223" s="98">
        <v>52.05</v>
      </c>
      <c r="AA223" s="98">
        <v>57.49</v>
      </c>
      <c r="AB223" s="98">
        <v>67.77</v>
      </c>
      <c r="AC223" s="98">
        <v>76.67</v>
      </c>
      <c r="AD223" s="98">
        <v>80.599999999999994</v>
      </c>
      <c r="AE223" s="98">
        <v>82.63</v>
      </c>
      <c r="AF223" s="98">
        <v>84.13</v>
      </c>
      <c r="AG223" s="106">
        <v>84.12</v>
      </c>
      <c r="AH223" s="107">
        <v>77.36</v>
      </c>
      <c r="AI223" s="107">
        <v>76.760000000000005</v>
      </c>
      <c r="AJ223" s="107">
        <v>66.150000000000006</v>
      </c>
      <c r="AK223" s="90">
        <f t="shared" si="31"/>
        <v>323</v>
      </c>
      <c r="AL223" s="90">
        <f t="shared" si="32"/>
        <v>321</v>
      </c>
      <c r="AM223" s="108">
        <f t="shared" si="33"/>
        <v>319</v>
      </c>
      <c r="AN223" s="91">
        <f t="shared" si="34"/>
        <v>334</v>
      </c>
      <c r="AO223" s="108">
        <f t="shared" si="41"/>
        <v>325</v>
      </c>
      <c r="AP223" s="109">
        <f t="shared" si="42"/>
        <v>355</v>
      </c>
      <c r="AQ223" s="110">
        <f t="shared" si="35"/>
        <v>339</v>
      </c>
      <c r="AR223" s="110">
        <f t="shared" si="35"/>
        <v>339</v>
      </c>
      <c r="AS223" s="110">
        <f t="shared" si="39"/>
        <v>328</v>
      </c>
      <c r="AT223" s="110">
        <f t="shared" si="40"/>
        <v>317</v>
      </c>
      <c r="AU223" s="110">
        <f t="shared" si="36"/>
        <v>306</v>
      </c>
      <c r="AV223" s="109">
        <f t="shared" si="37"/>
        <v>235</v>
      </c>
      <c r="AW223" s="109">
        <f>ROUND(W223/VLOOKUP($C223,CapRate,13),0)</f>
        <v>246</v>
      </c>
      <c r="AX223" s="109">
        <f>ROUND(X223/VLOOKUP($C223,CapRate,14),0)</f>
        <v>261</v>
      </c>
      <c r="AY223" s="109">
        <f>ROUND(Y223/VLOOKUP($C223,CapRate,15),0)</f>
        <v>286</v>
      </c>
      <c r="AZ223" s="109">
        <f>ROUND(Z223/VLOOKUP($C223,CapRate,16),0)</f>
        <v>335</v>
      </c>
      <c r="BA223" s="109">
        <f>ROUND(AA223/VLOOKUP($C223,CapRate,17),0)</f>
        <v>368</v>
      </c>
      <c r="BB223" s="109">
        <f>ROUND(AB223/VLOOKUP($C223,CapRate,18),0)</f>
        <v>432</v>
      </c>
      <c r="BC223" s="109">
        <f>ROUND(AC223/VLOOKUP($C223,CapRate,19),0)</f>
        <v>488</v>
      </c>
      <c r="BD223" s="109">
        <f>ROUND(AD223/VLOOKUP($C223,CapRate,20),0)</f>
        <v>514</v>
      </c>
      <c r="BE223" s="109">
        <f>ROUND(AE223/VLOOKUP($C223,CapRate,21),0)</f>
        <v>528</v>
      </c>
      <c r="BF223" s="109">
        <f>ROUND(AF223/VLOOKUP($C223,CapRate,22),0)</f>
        <v>538</v>
      </c>
      <c r="BG223" s="109">
        <f>ROUND(AG223/VLOOKUP($C223,CapRate,23),0)</f>
        <v>537</v>
      </c>
      <c r="BH223" s="109">
        <f>ROUND(AH223/VLOOKUP($C223,CapRate,24),0)</f>
        <v>493</v>
      </c>
      <c r="BI223" s="109">
        <f>ROUND(AI223/VLOOKUP($C223,CapRate,25),0)</f>
        <v>488</v>
      </c>
      <c r="BJ223" s="109">
        <f>ROUND(AJ223/VLOOKUP($C223,CapRate,26),0)</f>
        <v>419</v>
      </c>
      <c r="BK223" s="193">
        <f t="shared" si="38"/>
        <v>-0.14139344262295084</v>
      </c>
      <c r="BL223" s="114">
        <f>((F220*BK220)+(F221*BK221)+(F222*BK222)+(F223*BK223))</f>
        <v>-0.15259082862947826</v>
      </c>
      <c r="BM223" s="120"/>
      <c r="BN223" s="115"/>
      <c r="BO223" s="115">
        <f>BK223</f>
        <v>-0.14139344262295084</v>
      </c>
      <c r="BP223" s="115"/>
    </row>
    <row r="224" spans="1:68" ht="15.9" customHeight="1" thickTop="1">
      <c r="A224" s="8" t="s">
        <v>110</v>
      </c>
      <c r="B224" s="22"/>
      <c r="C224" s="8" t="s">
        <v>120</v>
      </c>
      <c r="D224" s="23" t="s">
        <v>120</v>
      </c>
      <c r="E224" s="8" t="s">
        <v>39</v>
      </c>
      <c r="F224" s="188">
        <f>[1]AcreSummary!M65</f>
        <v>0.20618113441416147</v>
      </c>
      <c r="G224" s="25"/>
      <c r="H224" s="117"/>
      <c r="I224" s="57">
        <f>[1]Native!E63</f>
        <v>5.58</v>
      </c>
      <c r="J224" s="58">
        <f>[1]Native!F63</f>
        <v>5.63</v>
      </c>
      <c r="K224" s="80">
        <f>[1]Native!G63</f>
        <v>5.5449999999999999</v>
      </c>
      <c r="L224" s="68">
        <f>[1]Native!H63</f>
        <v>5.64</v>
      </c>
      <c r="M224" s="58">
        <f>[1]Native!I63</f>
        <v>5.8380000000000001</v>
      </c>
      <c r="N224" s="81">
        <f>[1]Native!J63</f>
        <v>5.89</v>
      </c>
      <c r="O224" s="62">
        <v>5.88</v>
      </c>
      <c r="P224" s="81">
        <f>[1]Native!K63</f>
        <v>5.94</v>
      </c>
      <c r="Q224" s="82">
        <f>[1]Native!L63</f>
        <v>6.01</v>
      </c>
      <c r="R224" s="83">
        <v>6.01</v>
      </c>
      <c r="S224" s="84">
        <f>[1]Native!M63</f>
        <v>6.19</v>
      </c>
      <c r="T224" s="66">
        <f>[1]Native!N63</f>
        <v>6.3</v>
      </c>
      <c r="U224" s="67">
        <f>[1]Native!O63</f>
        <v>6.54</v>
      </c>
      <c r="V224" s="67">
        <f>[1]Native!P63</f>
        <v>3.23</v>
      </c>
      <c r="W224" s="67">
        <f>[1]Native!Q63</f>
        <v>1.98</v>
      </c>
      <c r="X224" s="68">
        <v>1.39</v>
      </c>
      <c r="Y224" s="68">
        <v>0.84</v>
      </c>
      <c r="Z224" s="68">
        <v>1.1100000000000001</v>
      </c>
      <c r="AA224" s="68">
        <v>1.31</v>
      </c>
      <c r="AB224" s="68">
        <v>1.53</v>
      </c>
      <c r="AC224" s="68">
        <v>1.89</v>
      </c>
      <c r="AD224" s="68">
        <v>2.87</v>
      </c>
      <c r="AE224" s="68">
        <v>3.98</v>
      </c>
      <c r="AF224" s="68">
        <v>4.34</v>
      </c>
      <c r="AG224" s="69">
        <v>4.7300000000000004</v>
      </c>
      <c r="AH224" s="70">
        <v>5.12</v>
      </c>
      <c r="AI224" s="70">
        <v>5.34</v>
      </c>
      <c r="AJ224" s="70">
        <v>5.57</v>
      </c>
      <c r="AK224" s="8">
        <f t="shared" si="31"/>
        <v>37</v>
      </c>
      <c r="AL224" s="8">
        <f t="shared" si="32"/>
        <v>36</v>
      </c>
      <c r="AM224" s="85">
        <f t="shared" si="33"/>
        <v>36</v>
      </c>
      <c r="AN224" s="23">
        <f t="shared" si="34"/>
        <v>38</v>
      </c>
      <c r="AO224" s="85">
        <f t="shared" si="41"/>
        <v>40</v>
      </c>
      <c r="AP224" s="72">
        <f t="shared" si="42"/>
        <v>41</v>
      </c>
      <c r="AQ224" s="71">
        <f t="shared" si="35"/>
        <v>41</v>
      </c>
      <c r="AR224" s="71">
        <f t="shared" si="35"/>
        <v>41</v>
      </c>
      <c r="AS224" s="71">
        <f t="shared" si="39"/>
        <v>42</v>
      </c>
      <c r="AT224" s="71">
        <f t="shared" si="40"/>
        <v>43</v>
      </c>
      <c r="AU224" s="71">
        <f t="shared" si="36"/>
        <v>44</v>
      </c>
      <c r="AV224" s="72">
        <f t="shared" si="37"/>
        <v>21</v>
      </c>
      <c r="AW224" s="72">
        <f>ROUND(W224/VLOOKUP($C224,CapRate,13),0)</f>
        <v>13</v>
      </c>
      <c r="AX224" s="122">
        <f>IF(ROUND(X224/VLOOKUP($C224,CapRate,14),0)&gt;10,X224/VLOOKUP($C224,CapRate,14),10)</f>
        <v>10</v>
      </c>
      <c r="AY224" s="122">
        <f>IF(ROUND(Y224/VLOOKUP($C224,CapRate,15),0)&gt;10,Y224/VLOOKUP($C224,CapRate,15),10)</f>
        <v>10</v>
      </c>
      <c r="AZ224" s="122">
        <f>IF(ROUND(Z224/VLOOKUP($C224,CapRate,16),0)&gt;10,Z224/VLOOKUP($C224,CapRate,16),10)</f>
        <v>10</v>
      </c>
      <c r="BA224" s="122">
        <f>IF(ROUND(AA224/VLOOKUP($C224,CapRate,17),0)&gt;10,AA224/VLOOKUP($C224,CapRate,17),10)</f>
        <v>10</v>
      </c>
      <c r="BB224" s="122">
        <f>IF(ROUND(AB224/VLOOKUP($C224,CapRate,18),0)&gt;10,AB224/VLOOKUP($C224,CapRate,18),10)</f>
        <v>10</v>
      </c>
      <c r="BC224" s="122">
        <f>IF(ROUND(AC224/VLOOKUP($C224,CapRate,19),0)&gt;10,AC224/VLOOKUP($C224,CapRate,19),10)</f>
        <v>12.296681847755366</v>
      </c>
      <c r="BD224" s="122">
        <f>IF(ROUND(AD224/VLOOKUP($C224,CapRate,20),0)&gt;10,AD224/VLOOKUP($C224,CapRate,20),10)</f>
        <v>18.697068403908794</v>
      </c>
      <c r="BE224" s="122">
        <f>IF(ROUND(AE224/VLOOKUP($C224,CapRate,21),0)&gt;10,AE224/VLOOKUP($C224,CapRate,21),10)</f>
        <v>25.979112271540469</v>
      </c>
      <c r="BF224" s="122">
        <f>IF(ROUND(AF224/VLOOKUP($C224,CapRate,22),0)&gt;10,AF224/VLOOKUP($C224,CapRate,22),10)</f>
        <v>28.403141361256544</v>
      </c>
      <c r="BG224" s="122">
        <f>IF(ROUND(AG224/VLOOKUP($C224,CapRate,23),0)&gt;10,AG224/VLOOKUP($C224,CapRate,23),10)</f>
        <v>31.036745406824149</v>
      </c>
      <c r="BH224" s="122">
        <f>IF(ROUND(AH224/VLOOKUP($C224,CapRate,24),0)&gt;10,AH224/VLOOKUP($C224,CapRate,24),10)</f>
        <v>33.684210526315788</v>
      </c>
      <c r="BI224" s="122">
        <f>IF(ROUND(AI224/VLOOKUP($C224,CapRate,25),0)&gt;10,AI224/VLOOKUP($C224,CapRate,25),10)</f>
        <v>35.085413929040733</v>
      </c>
      <c r="BJ224" s="122">
        <f>IF(ROUND(AJ224/VLOOKUP($C224,CapRate,26),0)&gt;10,AJ224/VLOOKUP($C224,CapRate,26),10)</f>
        <v>36.47675180091683</v>
      </c>
      <c r="BK224" s="75">
        <f t="shared" si="38"/>
        <v>3.9655734850101432E-2</v>
      </c>
      <c r="BL224" s="76"/>
      <c r="BM224" s="77">
        <f>BK224</f>
        <v>3.9655734850101432E-2</v>
      </c>
      <c r="BN224" s="77"/>
      <c r="BO224" s="77"/>
      <c r="BP224" s="77"/>
    </row>
    <row r="225" spans="1:68" ht="15.9" customHeight="1">
      <c r="A225" s="8"/>
      <c r="B225" s="22"/>
      <c r="C225" s="8" t="s">
        <v>120</v>
      </c>
      <c r="D225" s="23"/>
      <c r="E225" s="8" t="s">
        <v>85</v>
      </c>
      <c r="F225" s="188">
        <f>[1]AcreSummary!L65</f>
        <v>1.0196599356478914E-3</v>
      </c>
      <c r="G225" s="25"/>
      <c r="H225" s="117"/>
      <c r="I225" s="57"/>
      <c r="J225" s="58">
        <f>[1]Tame!D32</f>
        <v>8.2859999999999996</v>
      </c>
      <c r="K225" s="80">
        <f>[1]Tame!E32</f>
        <v>7.4640000000000004</v>
      </c>
      <c r="L225" s="68">
        <f>[1]Tame!F32</f>
        <v>6.6325000000000003</v>
      </c>
      <c r="M225" s="58">
        <f>[1]Tame!G32</f>
        <v>5.9470000000000001</v>
      </c>
      <c r="N225" s="81">
        <f>[1]Tame!H32</f>
        <v>5.03</v>
      </c>
      <c r="O225" s="62">
        <v>7.25</v>
      </c>
      <c r="P225" s="81">
        <f>[1]Tame!I32</f>
        <v>4.07</v>
      </c>
      <c r="Q225" s="82">
        <f>[1]Tame!J32</f>
        <v>3.87</v>
      </c>
      <c r="R225" s="83">
        <v>3.87</v>
      </c>
      <c r="S225" s="84">
        <f>[1]Tame!K32</f>
        <v>3.07</v>
      </c>
      <c r="T225" s="66">
        <f>[1]Tame!L32</f>
        <v>1.61</v>
      </c>
      <c r="U225" s="67">
        <f>[1]Tame!M32</f>
        <v>1.81</v>
      </c>
      <c r="V225" s="68">
        <f>[1]Tame!N32</f>
        <v>-2.68</v>
      </c>
      <c r="W225" s="68">
        <f>[1]Tame!O32</f>
        <v>-5.21</v>
      </c>
      <c r="X225" s="68">
        <v>-6.21</v>
      </c>
      <c r="Y225" s="68">
        <v>-7.19</v>
      </c>
      <c r="Z225" s="68">
        <v>-7.36</v>
      </c>
      <c r="AA225" s="68">
        <v>-6.25</v>
      </c>
      <c r="AB225" s="68">
        <v>-5.28</v>
      </c>
      <c r="AC225" s="68">
        <v>0</v>
      </c>
      <c r="AD225" s="68">
        <v>0</v>
      </c>
      <c r="AE225" s="68">
        <v>1.9</v>
      </c>
      <c r="AF225" s="68">
        <v>3.27</v>
      </c>
      <c r="AG225" s="69">
        <v>4.68</v>
      </c>
      <c r="AH225" s="70">
        <v>6.08</v>
      </c>
      <c r="AI225" s="70">
        <v>6.1</v>
      </c>
      <c r="AJ225" s="70">
        <v>6.1</v>
      </c>
      <c r="AK225" s="8">
        <f>ROUND(J225/VLOOKUP($C225,CapRate,2),0)</f>
        <v>54</v>
      </c>
      <c r="AL225" s="8">
        <f>ROUND(K225/VLOOKUP($C225,CapRate,3),0)</f>
        <v>48</v>
      </c>
      <c r="AM225" s="85">
        <f>ROUND(L225/VLOOKUP($C225,CapRate,4),0)</f>
        <v>43</v>
      </c>
      <c r="AN225" s="23">
        <f>ROUND(M225/VLOOKUP($C225,CapRate,5),0)</f>
        <v>39</v>
      </c>
      <c r="AO225" s="85">
        <f t="shared" si="41"/>
        <v>49</v>
      </c>
      <c r="AP225" s="72">
        <f t="shared" si="42"/>
        <v>28</v>
      </c>
      <c r="AQ225" s="71">
        <f t="shared" si="35"/>
        <v>26</v>
      </c>
      <c r="AR225" s="71">
        <f t="shared" si="35"/>
        <v>26</v>
      </c>
      <c r="AS225" s="71">
        <v>0</v>
      </c>
      <c r="AT225" s="71">
        <v>0</v>
      </c>
      <c r="AU225" s="71">
        <v>0</v>
      </c>
      <c r="AV225" s="72">
        <f>IF(ROUND(V225/VLOOKUP($C225,CapRate,12),0)&gt;AV224,V225/VLOOKUP($C225,CapRate,12),AV224)</f>
        <v>21</v>
      </c>
      <c r="AW225" s="72">
        <f>IF(ROUND(W225/VLOOKUP($C225,CapRate,13),0)&gt;AW224,W225/VLOOKUP($C225,CapRate,13),AW224)</f>
        <v>13</v>
      </c>
      <c r="AX225" s="72">
        <f>IF(ROUND(X225/VLOOKUP($C225,CapRate,14),0)&gt;AX224,X225/VLOOKUP($C225,CapRate,14),AX224)</f>
        <v>10</v>
      </c>
      <c r="AY225" s="72">
        <f>IF(ROUND(Y225/VLOOKUP($C225,CapRate,15),0)&gt;AY224,Y225/VLOOKUP($C225,CapRate,15),AY224)</f>
        <v>10</v>
      </c>
      <c r="AZ225" s="72">
        <f>IF(ROUND(Z225/VLOOKUP($C225,CapRate,16),0)&gt;AZ224,Z225/VLOOKUP($C225,CapRate,16),AZ224)</f>
        <v>10</v>
      </c>
      <c r="BA225" s="72">
        <f>IF(ROUND(AA225/VLOOKUP($C225,CapRate,17),0)&gt;BA224,AA225/VLOOKUP($C225,CapRate,17),BA224)</f>
        <v>10</v>
      </c>
      <c r="BB225" s="72">
        <f>IF(ROUND(AB225/VLOOKUP($C225,CapRate,18),0)&gt;BB224,AB225/VLOOKUP($C225,CapRate,18),BB224)</f>
        <v>10</v>
      </c>
      <c r="BC225" s="72">
        <f>IF(ROUND(AC225/VLOOKUP($C225,CapRate,19),0)&gt;BC224,AC225/VLOOKUP($C225,CapRate,19),BC224)</f>
        <v>12.296681847755366</v>
      </c>
      <c r="BD225" s="72">
        <f>IF(ROUND(AD225/VLOOKUP($C225,CapRate,20),0)&gt;BD224,AD225/VLOOKUP($C225,CapRate,20),BD224)</f>
        <v>18.697068403908794</v>
      </c>
      <c r="BE225" s="72">
        <f>IF(ROUND(AE225/VLOOKUP($C225,CapRate,21),0)&gt;BE224,AE225/VLOOKUP($C225,CapRate,21),BE224)</f>
        <v>25.979112271540469</v>
      </c>
      <c r="BF225" s="72">
        <f>IF(ROUND(AF225/VLOOKUP($C225,CapRate,22),0)&gt;BF224,AF225/VLOOKUP($C225,CapRate,22),BF224)</f>
        <v>28.403141361256544</v>
      </c>
      <c r="BG225" s="72">
        <f>IF(ROUND(AG225/VLOOKUP($C225,CapRate,23),0)&gt;BG224,AG225/VLOOKUP($C225,CapRate,23),BG224)</f>
        <v>31.036745406824149</v>
      </c>
      <c r="BH225" s="72">
        <f>IF(ROUND(AH225/VLOOKUP($C225,CapRate,24),0)&gt;BH224,AH225/VLOOKUP($C225,CapRate,24),BH224)</f>
        <v>40</v>
      </c>
      <c r="BI225" s="72">
        <f>IF(ROUND(AI225/VLOOKUP($C225,CapRate,25),0)&gt;BI224,AI225/VLOOKUP($C225,CapRate,25),BI224)</f>
        <v>40.07884362680683</v>
      </c>
      <c r="BJ225" s="72">
        <f>IF(ROUND(AJ225/VLOOKUP($C225,CapRate,26),0)&gt;BJ224,AJ225/VLOOKUP($C225,CapRate,26),BJ224)</f>
        <v>39.947609692206939</v>
      </c>
      <c r="BK225" s="87">
        <f t="shared" si="38"/>
        <v>-3.2743942370661028E-3</v>
      </c>
      <c r="BL225" s="76"/>
      <c r="BM225" s="77"/>
      <c r="BN225" s="77"/>
      <c r="BO225" s="77"/>
      <c r="BP225" s="77">
        <f>BK225</f>
        <v>-3.2743942370661028E-3</v>
      </c>
    </row>
    <row r="226" spans="1:68" ht="15.9" customHeight="1">
      <c r="A226" s="8" t="s">
        <v>110</v>
      </c>
      <c r="B226" s="22"/>
      <c r="C226" s="8" t="s">
        <v>120</v>
      </c>
      <c r="D226" s="23"/>
      <c r="E226" s="8" t="s">
        <v>40</v>
      </c>
      <c r="F226" s="188">
        <f>[1]AcreSummary!J65</f>
        <v>0.60388867107453803</v>
      </c>
      <c r="G226" s="25"/>
      <c r="H226" s="117"/>
      <c r="I226" s="57">
        <f>[1]Dry!E65</f>
        <v>15.9</v>
      </c>
      <c r="J226" s="58">
        <f>[1]Dry!F65</f>
        <v>15.42</v>
      </c>
      <c r="K226" s="80">
        <f>[1]Dry!G65</f>
        <v>15</v>
      </c>
      <c r="L226" s="68">
        <f>[1]Dry!H65</f>
        <v>14.93</v>
      </c>
      <c r="M226" s="58">
        <f>[1]Dry!I65</f>
        <v>15.37</v>
      </c>
      <c r="N226" s="81">
        <f>[1]Dry!J65</f>
        <v>16.03</v>
      </c>
      <c r="O226" s="62">
        <v>15.96</v>
      </c>
      <c r="P226" s="81">
        <f>[1]Dry!K65</f>
        <v>17.170000000000002</v>
      </c>
      <c r="Q226" s="82">
        <f>[1]Dry!L65</f>
        <v>18.09</v>
      </c>
      <c r="R226" s="83">
        <f>Q226*0.95</f>
        <v>17.185499999999998</v>
      </c>
      <c r="S226" s="84">
        <f>[1]Dry!N65</f>
        <v>18.55</v>
      </c>
      <c r="T226" s="66">
        <f>[1]Dry!O65</f>
        <v>19.2</v>
      </c>
      <c r="U226" s="67">
        <f>[1]Dry!P65</f>
        <v>19.510000000000002</v>
      </c>
      <c r="V226" s="68">
        <f>[1]Dry!Q65</f>
        <v>10.45</v>
      </c>
      <c r="W226" s="68">
        <f>[1]Dry!R65</f>
        <v>11.67</v>
      </c>
      <c r="X226" s="68">
        <f>[1]Dry!S65</f>
        <v>12.49</v>
      </c>
      <c r="Y226" s="68">
        <f>[1]Dry!T65</f>
        <v>14.24</v>
      </c>
      <c r="Z226" s="68">
        <v>16.079999999999998</v>
      </c>
      <c r="AA226" s="68">
        <v>29.52</v>
      </c>
      <c r="AB226" s="68">
        <v>31.9</v>
      </c>
      <c r="AC226" s="68">
        <v>33.520000000000003</v>
      </c>
      <c r="AD226" s="68">
        <v>33.630000000000003</v>
      </c>
      <c r="AE226" s="68">
        <v>32.520000000000003</v>
      </c>
      <c r="AF226" s="68">
        <v>31.63</v>
      </c>
      <c r="AG226" s="69">
        <v>29.23</v>
      </c>
      <c r="AH226" s="70">
        <v>24.78</v>
      </c>
      <c r="AI226" s="70">
        <v>19.190000000000001</v>
      </c>
      <c r="AJ226" s="70">
        <v>15.77</v>
      </c>
      <c r="AK226" s="8">
        <f t="shared" si="31"/>
        <v>100</v>
      </c>
      <c r="AL226" s="8">
        <f t="shared" si="32"/>
        <v>97</v>
      </c>
      <c r="AM226" s="85">
        <f t="shared" si="33"/>
        <v>96</v>
      </c>
      <c r="AN226" s="23">
        <f t="shared" si="34"/>
        <v>101</v>
      </c>
      <c r="AO226" s="85">
        <f t="shared" si="41"/>
        <v>108</v>
      </c>
      <c r="AP226" s="72">
        <f t="shared" si="42"/>
        <v>118</v>
      </c>
      <c r="AQ226" s="71">
        <f t="shared" si="35"/>
        <v>123</v>
      </c>
      <c r="AR226" s="71">
        <f t="shared" si="35"/>
        <v>117</v>
      </c>
      <c r="AS226" s="71">
        <f t="shared" si="39"/>
        <v>126</v>
      </c>
      <c r="AT226" s="71">
        <f t="shared" si="40"/>
        <v>130</v>
      </c>
      <c r="AU226" s="71">
        <f t="shared" si="36"/>
        <v>131</v>
      </c>
      <c r="AV226" s="72">
        <f t="shared" si="37"/>
        <v>68</v>
      </c>
      <c r="AW226" s="72">
        <f>ROUND(W226/VLOOKUP($C226,CapRate,13),0)</f>
        <v>76</v>
      </c>
      <c r="AX226" s="72">
        <f>ROUND(X226/VLOOKUP($C226,CapRate,14),0)</f>
        <v>81</v>
      </c>
      <c r="AY226" s="72">
        <f>ROUND(Y226/VLOOKUP($C226,CapRate,15),0)</f>
        <v>92</v>
      </c>
      <c r="AZ226" s="72">
        <f>ROUND(Z226/VLOOKUP($C226,CapRate,16),0)</f>
        <v>104</v>
      </c>
      <c r="BA226" s="72">
        <f>ROUND(AA226/VLOOKUP($C226,CapRate,17),0)</f>
        <v>191</v>
      </c>
      <c r="BB226" s="72">
        <f>ROUND(AB226/VLOOKUP($C226,CapRate,18),0)</f>
        <v>207</v>
      </c>
      <c r="BC226" s="72">
        <f>ROUND(AC226/VLOOKUP($C226,CapRate,19),0)</f>
        <v>218</v>
      </c>
      <c r="BD226" s="72">
        <f>ROUND(AD226/VLOOKUP($C226,CapRate,20),0)</f>
        <v>219</v>
      </c>
      <c r="BE226" s="72">
        <f>ROUND(AE226/VLOOKUP($C226,CapRate,21),0)</f>
        <v>212</v>
      </c>
      <c r="BF226" s="72">
        <f>ROUND(AF226/VLOOKUP($C226,CapRate,22),0)</f>
        <v>207</v>
      </c>
      <c r="BG226" s="72">
        <f>ROUND(AG226/VLOOKUP($C226,CapRate,23),0)</f>
        <v>192</v>
      </c>
      <c r="BH226" s="72">
        <f>ROUND(AH226/VLOOKUP($C226,CapRate,24),0)</f>
        <v>163</v>
      </c>
      <c r="BI226" s="72">
        <f>ROUND(AI226/VLOOKUP($C226,CapRate,25),0)</f>
        <v>126</v>
      </c>
      <c r="BJ226" s="72">
        <f>ROUND(AJ226/VLOOKUP($C226,CapRate,26),0)</f>
        <v>103</v>
      </c>
      <c r="BK226" s="87">
        <f t="shared" si="38"/>
        <v>-0.18253968253968256</v>
      </c>
      <c r="BL226" s="76"/>
      <c r="BM226" s="77"/>
      <c r="BN226" s="77">
        <f>BK226</f>
        <v>-0.18253968253968256</v>
      </c>
      <c r="BO226" s="77"/>
      <c r="BP226" s="77"/>
    </row>
    <row r="227" spans="1:68" ht="15.9" customHeight="1" thickBot="1">
      <c r="A227" s="8" t="s">
        <v>110</v>
      </c>
      <c r="B227" s="22"/>
      <c r="C227" s="90" t="s">
        <v>120</v>
      </c>
      <c r="D227" s="91"/>
      <c r="E227" s="90" t="s">
        <v>41</v>
      </c>
      <c r="F227" s="190">
        <f>[1]AcreSummary!K65</f>
        <v>0.1889105345756526</v>
      </c>
      <c r="G227" s="191">
        <f>[1]Irrigated!D71</f>
        <v>100</v>
      </c>
      <c r="H227" s="94">
        <f>[1]Irrigated!E71</f>
        <v>0.49890000000000001</v>
      </c>
      <c r="I227" s="95"/>
      <c r="J227" s="96">
        <f>[1]Irrigated!H71</f>
        <v>31.76</v>
      </c>
      <c r="K227" s="97">
        <f>[1]Irrigated!I71</f>
        <v>31.35</v>
      </c>
      <c r="L227" s="98">
        <f>[1]Irrigated!J71</f>
        <v>31.37</v>
      </c>
      <c r="M227" s="96">
        <f>[1]Irrigated!K71</f>
        <v>32.21</v>
      </c>
      <c r="N227" s="99">
        <f>[1]Irrigated!L71</f>
        <v>32.96</v>
      </c>
      <c r="O227" s="100">
        <v>38.01</v>
      </c>
      <c r="P227" s="99">
        <f>[1]Irrigated!M71</f>
        <v>32.07</v>
      </c>
      <c r="Q227" s="101">
        <f>[1]Irrigated!N71</f>
        <v>30.93</v>
      </c>
      <c r="R227" s="102">
        <v>30.93</v>
      </c>
      <c r="S227" s="103">
        <f>[1]Irrigated!O71</f>
        <v>30.26</v>
      </c>
      <c r="T227" s="104">
        <f>[1]Irrigated!P71</f>
        <v>29.49</v>
      </c>
      <c r="U227" s="105">
        <f>[1]Irrigated!Q71</f>
        <v>29.7</v>
      </c>
      <c r="V227" s="98">
        <f>[1]Irrigated!R71</f>
        <v>24.93</v>
      </c>
      <c r="W227" s="98">
        <f>[1]Irrigated!S71</f>
        <v>27.15</v>
      </c>
      <c r="X227" s="98">
        <v>29.42</v>
      </c>
      <c r="Y227" s="98">
        <v>34.25</v>
      </c>
      <c r="Z227" s="98">
        <v>41.18</v>
      </c>
      <c r="AA227" s="98">
        <v>45.91</v>
      </c>
      <c r="AB227" s="98">
        <v>69.680000000000007</v>
      </c>
      <c r="AC227" s="98">
        <v>78.760000000000005</v>
      </c>
      <c r="AD227" s="98">
        <v>82.79</v>
      </c>
      <c r="AE227" s="98">
        <v>84.93</v>
      </c>
      <c r="AF227" s="98">
        <v>86.3</v>
      </c>
      <c r="AG227" s="106">
        <v>86.31</v>
      </c>
      <c r="AH227" s="107">
        <v>79.53</v>
      </c>
      <c r="AI227" s="107">
        <v>72.42</v>
      </c>
      <c r="AJ227" s="107">
        <v>61.88</v>
      </c>
      <c r="AK227" s="90">
        <f t="shared" si="31"/>
        <v>207</v>
      </c>
      <c r="AL227" s="90">
        <f t="shared" si="32"/>
        <v>204</v>
      </c>
      <c r="AM227" s="108">
        <f t="shared" si="33"/>
        <v>202</v>
      </c>
      <c r="AN227" s="91">
        <f t="shared" si="34"/>
        <v>211</v>
      </c>
      <c r="AO227" s="108">
        <f t="shared" si="41"/>
        <v>258</v>
      </c>
      <c r="AP227" s="109">
        <f t="shared" si="42"/>
        <v>220</v>
      </c>
      <c r="AQ227" s="110">
        <f t="shared" si="35"/>
        <v>211</v>
      </c>
      <c r="AR227" s="110">
        <f t="shared" si="35"/>
        <v>211</v>
      </c>
      <c r="AS227" s="110">
        <f t="shared" si="39"/>
        <v>205</v>
      </c>
      <c r="AT227" s="110">
        <f t="shared" si="40"/>
        <v>199</v>
      </c>
      <c r="AU227" s="110">
        <f t="shared" si="36"/>
        <v>200</v>
      </c>
      <c r="AV227" s="109">
        <f t="shared" si="37"/>
        <v>163</v>
      </c>
      <c r="AW227" s="109">
        <f>ROUND(W227/VLOOKUP($C227,CapRate,13),0)</f>
        <v>177</v>
      </c>
      <c r="AX227" s="109">
        <f>ROUND(X227/VLOOKUP($C227,CapRate,14),0)</f>
        <v>191</v>
      </c>
      <c r="AY227" s="109">
        <f>ROUND(Y227/VLOOKUP($C227,CapRate,15),0)</f>
        <v>222</v>
      </c>
      <c r="AZ227" s="109">
        <f>ROUND(Z227/VLOOKUP($C227,CapRate,16),0)</f>
        <v>267</v>
      </c>
      <c r="BA227" s="109">
        <f>ROUND(AA227/VLOOKUP($C227,CapRate,17),0)</f>
        <v>297</v>
      </c>
      <c r="BB227" s="109">
        <f>ROUND(AB227/VLOOKUP($C227,CapRate,18),0)</f>
        <v>452</v>
      </c>
      <c r="BC227" s="109">
        <f>ROUND(AC227/VLOOKUP($C227,CapRate,19),0)</f>
        <v>512</v>
      </c>
      <c r="BD227" s="109">
        <f>ROUND(AD227/VLOOKUP($C227,CapRate,20),0)</f>
        <v>539</v>
      </c>
      <c r="BE227" s="109">
        <f>ROUND(AE227/VLOOKUP($C227,CapRate,21),0)</f>
        <v>554</v>
      </c>
      <c r="BF227" s="109">
        <f>ROUND(AF227/VLOOKUP($C227,CapRate,22),0)</f>
        <v>565</v>
      </c>
      <c r="BG227" s="109">
        <f>ROUND(AG227/VLOOKUP($C227,CapRate,23),0)</f>
        <v>566</v>
      </c>
      <c r="BH227" s="109">
        <f>ROUND(AH227/VLOOKUP($C227,CapRate,24),0)</f>
        <v>523</v>
      </c>
      <c r="BI227" s="109">
        <f>ROUND(AI227/VLOOKUP($C227,CapRate,25),0)</f>
        <v>476</v>
      </c>
      <c r="BJ227" s="109">
        <f>ROUND(AJ227/VLOOKUP($C227,CapRate,26),0)</f>
        <v>405</v>
      </c>
      <c r="BK227" s="193">
        <f t="shared" si="38"/>
        <v>-0.14915966386554624</v>
      </c>
      <c r="BL227" s="114">
        <f>((F224*BK224)+(F225*BK225)+(F226*BK226)+(F227*BK227))</f>
        <v>-0.13023855251641789</v>
      </c>
      <c r="BM227" s="120"/>
      <c r="BN227" s="115"/>
      <c r="BO227" s="115">
        <f>BK227</f>
        <v>-0.14915966386554624</v>
      </c>
      <c r="BP227" s="115"/>
    </row>
    <row r="228" spans="1:68" ht="15.9" customHeight="1" thickTop="1">
      <c r="A228" s="8" t="s">
        <v>110</v>
      </c>
      <c r="B228" s="22"/>
      <c r="C228" s="8" t="s">
        <v>121</v>
      </c>
      <c r="D228" s="23" t="s">
        <v>121</v>
      </c>
      <c r="E228" s="8" t="s">
        <v>39</v>
      </c>
      <c r="F228" s="188">
        <f>[1]AcreSummary!M66</f>
        <v>0.27789893291423323</v>
      </c>
      <c r="G228" s="25"/>
      <c r="H228" s="117"/>
      <c r="I228" s="57">
        <f>[1]Native!E64</f>
        <v>7.57</v>
      </c>
      <c r="J228" s="58">
        <f>[1]Native!F64</f>
        <v>8.0890000000000004</v>
      </c>
      <c r="K228" s="80">
        <f>[1]Native!G64</f>
        <v>7.99</v>
      </c>
      <c r="L228" s="68">
        <f>[1]Native!H64</f>
        <v>8.1579999999999995</v>
      </c>
      <c r="M228" s="58">
        <f>[1]Native!I64</f>
        <v>8.4499999999999993</v>
      </c>
      <c r="N228" s="81">
        <f>[1]Native!J64</f>
        <v>8.57</v>
      </c>
      <c r="O228" s="62">
        <v>8.4700000000000006</v>
      </c>
      <c r="P228" s="81">
        <f>[1]Native!K64</f>
        <v>8.64</v>
      </c>
      <c r="Q228" s="82">
        <f>[1]Native!L64</f>
        <v>7.95</v>
      </c>
      <c r="R228" s="83">
        <v>7.95</v>
      </c>
      <c r="S228" s="84">
        <f>[1]Native!M64</f>
        <v>8.08</v>
      </c>
      <c r="T228" s="66">
        <f>[1]Native!N64</f>
        <v>8.15</v>
      </c>
      <c r="U228" s="67">
        <f>[1]Native!O64</f>
        <v>8.3699999999999992</v>
      </c>
      <c r="V228" s="67">
        <f>[1]Native!P64</f>
        <v>5.32</v>
      </c>
      <c r="W228" s="67">
        <f>[1]Native!Q64</f>
        <v>4.13</v>
      </c>
      <c r="X228" s="68">
        <v>3.61</v>
      </c>
      <c r="Y228" s="68">
        <v>3.04</v>
      </c>
      <c r="Z228" s="68">
        <v>3.3</v>
      </c>
      <c r="AA228" s="68">
        <v>3.47</v>
      </c>
      <c r="AB228" s="68">
        <v>3.67</v>
      </c>
      <c r="AC228" s="68">
        <v>4.09</v>
      </c>
      <c r="AD228" s="68">
        <v>5.13</v>
      </c>
      <c r="AE228" s="68">
        <v>6.27</v>
      </c>
      <c r="AF228" s="68">
        <v>6.65</v>
      </c>
      <c r="AG228" s="69">
        <v>7.1</v>
      </c>
      <c r="AH228" s="70">
        <v>7.55</v>
      </c>
      <c r="AI228" s="70">
        <v>7.88</v>
      </c>
      <c r="AJ228" s="70">
        <v>7.98</v>
      </c>
      <c r="AK228" s="8">
        <f t="shared" si="31"/>
        <v>53</v>
      </c>
      <c r="AL228" s="8">
        <f t="shared" si="32"/>
        <v>52</v>
      </c>
      <c r="AM228" s="85">
        <f t="shared" si="33"/>
        <v>53</v>
      </c>
      <c r="AN228" s="23">
        <f t="shared" si="34"/>
        <v>56</v>
      </c>
      <c r="AO228" s="85">
        <f t="shared" si="41"/>
        <v>58</v>
      </c>
      <c r="AP228" s="72">
        <f t="shared" si="42"/>
        <v>60</v>
      </c>
      <c r="AQ228" s="71">
        <f t="shared" ref="AQ228:AR290" si="43">ROUND(Q228/VLOOKUP($C228,CapRate,8),0)</f>
        <v>55</v>
      </c>
      <c r="AR228" s="71">
        <f t="shared" si="43"/>
        <v>55</v>
      </c>
      <c r="AS228" s="71">
        <f t="shared" si="39"/>
        <v>56</v>
      </c>
      <c r="AT228" s="71">
        <f t="shared" si="40"/>
        <v>56</v>
      </c>
      <c r="AU228" s="71">
        <f t="shared" ref="AU228:AU291" si="44">ROUND(U228/VLOOKUP($C228,CapRate,11),0)</f>
        <v>58</v>
      </c>
      <c r="AV228" s="72">
        <f t="shared" ref="AV228:AV289" si="45">ROUND(V228/VLOOKUP($C228,CapRate,12),0)</f>
        <v>36</v>
      </c>
      <c r="AW228" s="72">
        <f>ROUND(W228/VLOOKUP($C228,CapRate,13),0)</f>
        <v>28</v>
      </c>
      <c r="AX228" s="122">
        <f>IF(ROUND(X228/VLOOKUP($C228,CapRate,14),0)&gt;10,X228/VLOOKUP($C228,CapRate,14),10)</f>
        <v>24.066666666666666</v>
      </c>
      <c r="AY228" s="122">
        <f>IF(ROUND(Y228/VLOOKUP($C228,CapRate,15),0)&gt;10,Y228/VLOOKUP($C228,CapRate,15),10)</f>
        <v>20.145791915175611</v>
      </c>
      <c r="AZ228" s="122">
        <f>IF(ROUND(Z228/VLOOKUP($C228,CapRate,16),0)&gt;10,Z228/VLOOKUP($C228,CapRate,16),10)</f>
        <v>21.839841164791526</v>
      </c>
      <c r="BA228" s="122">
        <f>IF(ROUND(AA228/VLOOKUP($C228,CapRate,17),0)&gt;10,AA228/VLOOKUP($C228,CapRate,17),10)</f>
        <v>22.859025032938078</v>
      </c>
      <c r="BB228" s="122">
        <f>IF(ROUND(AB228/VLOOKUP($C228,CapRate,18),0)&gt;10,AB228/VLOOKUP($C228,CapRate,18),10)</f>
        <v>24.097176625082074</v>
      </c>
      <c r="BC228" s="122">
        <f>IF(ROUND(AC228/VLOOKUP($C228,CapRate,19),0)&gt;10,AC228/VLOOKUP($C228,CapRate,19),10)</f>
        <v>26.802096985583219</v>
      </c>
      <c r="BD228" s="122">
        <f>IF(ROUND(AD228/VLOOKUP($C228,CapRate,20),0)&gt;10,AD228/VLOOKUP($C228,CapRate,20),10)</f>
        <v>33.529411764705884</v>
      </c>
      <c r="BE228" s="122">
        <f>IF(ROUND(AE228/VLOOKUP($C228,CapRate,21),0)&gt;10,AE228/VLOOKUP($C228,CapRate,21),10)</f>
        <v>40.900195694716245</v>
      </c>
      <c r="BF228" s="122">
        <f>IF(ROUND(AF228/VLOOKUP($C228,CapRate,22),0)&gt;10,AF228/VLOOKUP($C228,CapRate,22),10)</f>
        <v>43.294270833333343</v>
      </c>
      <c r="BG228" s="122">
        <f>IF(ROUND(AG228/VLOOKUP($C228,CapRate,23),0)&gt;10,AG228/VLOOKUP($C228,CapRate,23),10)</f>
        <v>46.163849154746423</v>
      </c>
      <c r="BH228" s="122">
        <f>IF(ROUND(AH228/VLOOKUP($C228,CapRate,24),0)&gt;10,AH228/VLOOKUP($C228,CapRate,24),10)</f>
        <v>49.057829759584145</v>
      </c>
      <c r="BI228" s="122">
        <f>IF(ROUND(AI228/VLOOKUP($C228,CapRate,25),0)&gt;10,AI228/VLOOKUP($C228,CapRate,25),10)</f>
        <v>51.202079272254707</v>
      </c>
      <c r="BJ228" s="122">
        <f>IF(ROUND(AJ228/VLOOKUP($C228,CapRate,26),0)&gt;10,AJ228/VLOOKUP($C228,CapRate,26),10)</f>
        <v>51.885565669700917</v>
      </c>
      <c r="BK228" s="75">
        <f t="shared" ref="BK228:BK291" si="46">SUM(BJ228/BI228)-1</f>
        <v>1.3348801594793347E-2</v>
      </c>
      <c r="BL228" s="76"/>
      <c r="BM228" s="77">
        <f>BK228</f>
        <v>1.3348801594793347E-2</v>
      </c>
      <c r="BN228" s="77"/>
      <c r="BO228" s="77"/>
      <c r="BP228" s="77"/>
    </row>
    <row r="229" spans="1:68" ht="15.9" customHeight="1">
      <c r="A229" s="8"/>
      <c r="B229" s="22"/>
      <c r="C229" s="8" t="s">
        <v>121</v>
      </c>
      <c r="D229" s="23"/>
      <c r="E229" s="8" t="s">
        <v>85</v>
      </c>
      <c r="F229" s="188">
        <f>[1]AcreSummary!L66</f>
        <v>1.559009735122965E-3</v>
      </c>
      <c r="G229" s="25"/>
      <c r="H229" s="117"/>
      <c r="I229" s="57"/>
      <c r="J229" s="58">
        <f>[1]Tame!D33</f>
        <v>9.2200000000000006</v>
      </c>
      <c r="K229" s="80">
        <f>[1]Tame!E33</f>
        <v>8.5739999999999998</v>
      </c>
      <c r="L229" s="68">
        <f>[1]Tame!F33</f>
        <v>7.9480000000000004</v>
      </c>
      <c r="M229" s="58">
        <f>[1]Tame!G33</f>
        <v>7.53</v>
      </c>
      <c r="N229" s="81">
        <f>[1]Tame!H33</f>
        <v>6.96</v>
      </c>
      <c r="O229" s="62">
        <v>7.54</v>
      </c>
      <c r="P229" s="81">
        <f>[1]Tame!I33</f>
        <v>6.31</v>
      </c>
      <c r="Q229" s="82">
        <f>[1]Tame!J33</f>
        <v>5.98</v>
      </c>
      <c r="R229" s="83">
        <v>5.98</v>
      </c>
      <c r="S229" s="84">
        <f>[1]Tame!K33</f>
        <v>5.31</v>
      </c>
      <c r="T229" s="66">
        <f>[1]Tame!L33</f>
        <v>4.17</v>
      </c>
      <c r="U229" s="67">
        <f>[1]Tame!M33</f>
        <v>4.3899999999999997</v>
      </c>
      <c r="V229" s="68">
        <f>[1]Tame!N33</f>
        <v>-0.66</v>
      </c>
      <c r="W229" s="68">
        <f>[1]Tame!O33</f>
        <v>-3.28</v>
      </c>
      <c r="X229" s="68">
        <v>-4.37</v>
      </c>
      <c r="Y229" s="68">
        <v>-5.57</v>
      </c>
      <c r="Z229" s="68">
        <v>-5.96</v>
      </c>
      <c r="AA229" s="68">
        <v>-5.0199999999999996</v>
      </c>
      <c r="AB229" s="68">
        <v>-3.76</v>
      </c>
      <c r="AC229" s="68">
        <v>0</v>
      </c>
      <c r="AD229" s="68">
        <v>0.77</v>
      </c>
      <c r="AE229" s="68">
        <v>3.78</v>
      </c>
      <c r="AF229" s="68">
        <v>5.0199999999999996</v>
      </c>
      <c r="AG229" s="69">
        <v>6.49</v>
      </c>
      <c r="AH229" s="70">
        <v>7.97</v>
      </c>
      <c r="AI229" s="70">
        <v>8.0399999999999991</v>
      </c>
      <c r="AJ229" s="70">
        <v>8.11</v>
      </c>
      <c r="AK229" s="8">
        <f>ROUND(J229/VLOOKUP($C229,CapRate,2),0)</f>
        <v>60</v>
      </c>
      <c r="AL229" s="8">
        <f>ROUND(K229/VLOOKUP($C229,CapRate,3),0)</f>
        <v>56</v>
      </c>
      <c r="AM229" s="85">
        <f>ROUND(L229/VLOOKUP($C229,CapRate,4),0)</f>
        <v>52</v>
      </c>
      <c r="AN229" s="23">
        <f>ROUND(M229/VLOOKUP($C229,CapRate,5),0)</f>
        <v>50</v>
      </c>
      <c r="AO229" s="85">
        <f t="shared" si="41"/>
        <v>52</v>
      </c>
      <c r="AP229" s="72">
        <f t="shared" si="42"/>
        <v>44</v>
      </c>
      <c r="AQ229" s="71">
        <f t="shared" si="43"/>
        <v>41</v>
      </c>
      <c r="AR229" s="71">
        <f t="shared" si="43"/>
        <v>41</v>
      </c>
      <c r="AS229" s="71">
        <v>0</v>
      </c>
      <c r="AT229" s="71">
        <v>0</v>
      </c>
      <c r="AU229" s="71">
        <v>0</v>
      </c>
      <c r="AV229" s="72">
        <f>IF(ROUND(V229/VLOOKUP($C229,CapRate,12),0)&gt;AV228,V229/VLOOKUP($C229,CapRate,12),AV228)</f>
        <v>36</v>
      </c>
      <c r="AW229" s="72">
        <f>IF(ROUND(W229/VLOOKUP($C229,CapRate,13),0)&gt;AW228,W229/VLOOKUP($C229,CapRate,13),AW228)</f>
        <v>28</v>
      </c>
      <c r="AX229" s="72">
        <f>IF(ROUND(X229/VLOOKUP($C229,CapRate,14),0)&gt;AX228,X229/VLOOKUP($C229,CapRate,14),AX228)</f>
        <v>24.066666666666666</v>
      </c>
      <c r="AY229" s="72">
        <f>IF(ROUND(Y229/VLOOKUP($C229,CapRate,15),0)&gt;AY228,Y229/VLOOKUP($C229,CapRate,15),AY228)</f>
        <v>20.145791915175611</v>
      </c>
      <c r="AZ229" s="72">
        <f>IF(ROUND(Z229/VLOOKUP($C229,CapRate,16),0)&gt;AZ228,Z229/VLOOKUP($C229,CapRate,16),AZ228)</f>
        <v>21.839841164791526</v>
      </c>
      <c r="BA229" s="72">
        <f>IF(ROUND(AA229/VLOOKUP($C229,CapRate,17),0)&gt;BA228,AA229/VLOOKUP($C229,CapRate,17),BA228)</f>
        <v>22.859025032938078</v>
      </c>
      <c r="BB229" s="72">
        <f>IF(ROUND(AB229/VLOOKUP($C229,CapRate,18),0)&gt;BB228,AB229/VLOOKUP($C229,CapRate,18),BB228)</f>
        <v>24.097176625082074</v>
      </c>
      <c r="BC229" s="72">
        <f>IF(ROUND(AC229/VLOOKUP($C229,CapRate,19),0)&gt;BC228,AC229/VLOOKUP($C229,CapRate,19),BC228)</f>
        <v>26.802096985583219</v>
      </c>
      <c r="BD229" s="72">
        <f>IF(ROUND(AD229/VLOOKUP($C229,CapRate,20),0)&gt;BD228,AD229/VLOOKUP($C229,CapRate,20),BD228)</f>
        <v>33.529411764705884</v>
      </c>
      <c r="BE229" s="72">
        <f>IF(ROUND(AE229/VLOOKUP($C229,CapRate,21),0)&gt;BE228,AE229/VLOOKUP($C229,CapRate,21),BE228)</f>
        <v>40.900195694716245</v>
      </c>
      <c r="BF229" s="72">
        <f>IF(ROUND(AF229/VLOOKUP($C229,CapRate,22),0)&gt;BF228,AF229/VLOOKUP($C229,CapRate,22),BF228)</f>
        <v>43.294270833333343</v>
      </c>
      <c r="BG229" s="72">
        <f>IF(ROUND(AG229/VLOOKUP($C229,CapRate,23),0)&gt;BG228,AG229/VLOOKUP($C229,CapRate,23),BG228)</f>
        <v>46.163849154746423</v>
      </c>
      <c r="BH229" s="72">
        <f>IF(ROUND(AH229/VLOOKUP($C229,CapRate,24),0)&gt;BH228,AH229/VLOOKUP($C229,CapRate,24),BH228)</f>
        <v>51.786874593892136</v>
      </c>
      <c r="BI229" s="72">
        <f>IF(ROUND(AI229/VLOOKUP($C229,CapRate,25),0)&gt;BI228,AI229/VLOOKUP($C229,CapRate,25),BI228)</f>
        <v>52.241715399610129</v>
      </c>
      <c r="BJ229" s="72">
        <f>IF(ROUND(AJ229/VLOOKUP($C229,CapRate,26),0)&gt;BJ228,AJ229/VLOOKUP($C229,CapRate,26),BJ228)</f>
        <v>52.730819245773731</v>
      </c>
      <c r="BK229" s="87">
        <f t="shared" si="46"/>
        <v>9.3623236224600337E-3</v>
      </c>
      <c r="BL229" s="76"/>
      <c r="BM229" s="77"/>
      <c r="BN229" s="77"/>
      <c r="BO229" s="77"/>
      <c r="BP229" s="77">
        <f>BK229</f>
        <v>9.3623236224600337E-3</v>
      </c>
    </row>
    <row r="230" spans="1:68" ht="15.9" customHeight="1">
      <c r="A230" s="8" t="s">
        <v>110</v>
      </c>
      <c r="B230" s="22"/>
      <c r="C230" s="8" t="s">
        <v>121</v>
      </c>
      <c r="D230" s="23"/>
      <c r="E230" s="8" t="s">
        <v>40</v>
      </c>
      <c r="F230" s="188">
        <f>[1]AcreSummary!J66</f>
        <v>0.63679559779104711</v>
      </c>
      <c r="G230" s="25"/>
      <c r="H230" s="117"/>
      <c r="I230" s="57">
        <f>[1]Dry!E66</f>
        <v>20.56</v>
      </c>
      <c r="J230" s="58">
        <f>[1]Dry!F66</f>
        <v>20.52</v>
      </c>
      <c r="K230" s="80">
        <f>[1]Dry!G66</f>
        <v>20.5</v>
      </c>
      <c r="L230" s="68">
        <f>[1]Dry!H66</f>
        <v>21.03</v>
      </c>
      <c r="M230" s="58">
        <f>[1]Dry!I66</f>
        <v>21.99</v>
      </c>
      <c r="N230" s="81">
        <f>[1]Dry!J66</f>
        <v>22.72</v>
      </c>
      <c r="O230" s="62">
        <v>22.65</v>
      </c>
      <c r="P230" s="81">
        <f>[1]Dry!K66</f>
        <v>24.03</v>
      </c>
      <c r="Q230" s="82">
        <f>[1]Dry!L66</f>
        <v>23.43</v>
      </c>
      <c r="R230" s="83">
        <f>Q230*0.95</f>
        <v>22.258499999999998</v>
      </c>
      <c r="S230" s="84">
        <f>[1]Dry!N66</f>
        <v>24.03</v>
      </c>
      <c r="T230" s="66">
        <f>[1]Dry!O66</f>
        <v>24.88</v>
      </c>
      <c r="U230" s="67">
        <f>[1]Dry!P66</f>
        <v>24.81</v>
      </c>
      <c r="V230" s="68">
        <f>[1]Dry!Q66</f>
        <v>10.55</v>
      </c>
      <c r="W230" s="68">
        <f>[1]Dry!R66</f>
        <v>11.32</v>
      </c>
      <c r="X230" s="68">
        <f>[1]Dry!S66</f>
        <v>12.18</v>
      </c>
      <c r="Y230" s="68">
        <f>[1]Dry!T66</f>
        <v>13.53</v>
      </c>
      <c r="Z230" s="68">
        <v>15.14</v>
      </c>
      <c r="AA230" s="68">
        <v>33.43</v>
      </c>
      <c r="AB230" s="68">
        <v>36.46</v>
      </c>
      <c r="AC230" s="68">
        <v>38.299999999999997</v>
      </c>
      <c r="AD230" s="68">
        <v>38.1</v>
      </c>
      <c r="AE230" s="68">
        <v>37.69</v>
      </c>
      <c r="AF230" s="68">
        <v>37.32</v>
      </c>
      <c r="AG230" s="69">
        <v>36.9</v>
      </c>
      <c r="AH230" s="70">
        <v>33.869999999999997</v>
      </c>
      <c r="AI230" s="70">
        <v>29.85</v>
      </c>
      <c r="AJ230" s="70">
        <v>27.1</v>
      </c>
      <c r="AK230" s="8">
        <f t="shared" si="31"/>
        <v>134</v>
      </c>
      <c r="AL230" s="8">
        <f t="shared" si="32"/>
        <v>134</v>
      </c>
      <c r="AM230" s="85">
        <f t="shared" si="33"/>
        <v>136</v>
      </c>
      <c r="AN230" s="23">
        <f t="shared" si="34"/>
        <v>146</v>
      </c>
      <c r="AO230" s="85">
        <f t="shared" si="41"/>
        <v>156</v>
      </c>
      <c r="AP230" s="72">
        <f t="shared" si="42"/>
        <v>167</v>
      </c>
      <c r="AQ230" s="71">
        <f t="shared" si="43"/>
        <v>163</v>
      </c>
      <c r="AR230" s="71">
        <f t="shared" si="43"/>
        <v>154</v>
      </c>
      <c r="AS230" s="71">
        <f t="shared" ref="AS230:AS293" si="47">ROUND(S230/VLOOKUP($C230,CapRate,9),0)</f>
        <v>166</v>
      </c>
      <c r="AT230" s="71">
        <f t="shared" ref="AT230:AT293" si="48">ROUND(T230/VLOOKUP($C230,CapRate,10),0)</f>
        <v>172</v>
      </c>
      <c r="AU230" s="71">
        <f t="shared" si="44"/>
        <v>171</v>
      </c>
      <c r="AV230" s="72">
        <f t="shared" si="45"/>
        <v>71</v>
      </c>
      <c r="AW230" s="72">
        <f>ROUND(W230/VLOOKUP($C230,CapRate,13),0)</f>
        <v>76</v>
      </c>
      <c r="AX230" s="72">
        <f>ROUND(X230/VLOOKUP($C230,CapRate,14),0)</f>
        <v>81</v>
      </c>
      <c r="AY230" s="72">
        <f>ROUND(Y230/VLOOKUP($C230,CapRate,15),0)</f>
        <v>90</v>
      </c>
      <c r="AZ230" s="72">
        <f>ROUND(Z230/VLOOKUP($C230,CapRate,16),0)</f>
        <v>100</v>
      </c>
      <c r="BA230" s="72">
        <f>ROUND(AA230/VLOOKUP($C230,CapRate,17),0)</f>
        <v>220</v>
      </c>
      <c r="BB230" s="72">
        <f>ROUND(AB230/VLOOKUP($C230,CapRate,18),0)</f>
        <v>239</v>
      </c>
      <c r="BC230" s="72">
        <f>ROUND(AC230/VLOOKUP($C230,CapRate,19),0)</f>
        <v>251</v>
      </c>
      <c r="BD230" s="72">
        <f>ROUND(AD230/VLOOKUP($C230,CapRate,20),0)</f>
        <v>249</v>
      </c>
      <c r="BE230" s="72">
        <f>ROUND(AE230/VLOOKUP($C230,CapRate,21),0)</f>
        <v>246</v>
      </c>
      <c r="BF230" s="72">
        <f>ROUND(AF230/VLOOKUP($C230,CapRate,22),0)</f>
        <v>243</v>
      </c>
      <c r="BG230" s="72">
        <f>ROUND(AG230/VLOOKUP($C230,CapRate,23),0)</f>
        <v>240</v>
      </c>
      <c r="BH230" s="72">
        <f>ROUND(AH230/VLOOKUP($C230,CapRate,24),0)</f>
        <v>220</v>
      </c>
      <c r="BI230" s="72">
        <f>ROUND(AI230/VLOOKUP($C230,CapRate,25),0)</f>
        <v>194</v>
      </c>
      <c r="BJ230" s="72">
        <f>ROUND(AJ230/VLOOKUP($C230,CapRate,26),0)</f>
        <v>176</v>
      </c>
      <c r="BK230" s="87">
        <f t="shared" si="46"/>
        <v>-9.2783505154639179E-2</v>
      </c>
      <c r="BL230" s="76"/>
      <c r="BM230" s="77"/>
      <c r="BN230" s="77">
        <f>BK230</f>
        <v>-9.2783505154639179E-2</v>
      </c>
      <c r="BO230" s="77"/>
      <c r="BP230" s="77"/>
    </row>
    <row r="231" spans="1:68" ht="15.9" customHeight="1" thickBot="1">
      <c r="A231" s="8" t="s">
        <v>110</v>
      </c>
      <c r="B231" s="22"/>
      <c r="C231" s="90" t="s">
        <v>121</v>
      </c>
      <c r="D231" s="91"/>
      <c r="E231" s="90" t="s">
        <v>41</v>
      </c>
      <c r="F231" s="190">
        <f>[1]AcreSummary!K66</f>
        <v>8.3746459559596712E-2</v>
      </c>
      <c r="G231" s="191">
        <f>[1]Irrigated!D72</f>
        <v>100</v>
      </c>
      <c r="H231" s="94">
        <f>[1]Irrigated!E72</f>
        <v>0.98</v>
      </c>
      <c r="I231" s="95"/>
      <c r="J231" s="96">
        <f>[1]Irrigated!H72</f>
        <v>45.3</v>
      </c>
      <c r="K231" s="97">
        <f>[1]Irrigated!I72</f>
        <v>45.68</v>
      </c>
      <c r="L231" s="98">
        <f>[1]Irrigated!J72</f>
        <v>46.67</v>
      </c>
      <c r="M231" s="96">
        <f>[1]Irrigated!K72</f>
        <v>48.55</v>
      </c>
      <c r="N231" s="99">
        <f>[1]Irrigated!L72</f>
        <v>50.31</v>
      </c>
      <c r="O231" s="100">
        <v>49.13</v>
      </c>
      <c r="P231" s="99">
        <f>[1]Irrigated!M72</f>
        <v>50.64</v>
      </c>
      <c r="Q231" s="101">
        <f>[1]Irrigated!N72</f>
        <v>45.8</v>
      </c>
      <c r="R231" s="102">
        <v>45.8</v>
      </c>
      <c r="S231" s="103">
        <f>[1]Irrigated!O72</f>
        <v>45.26</v>
      </c>
      <c r="T231" s="104">
        <f>[1]Irrigated!P72</f>
        <v>27.6</v>
      </c>
      <c r="U231" s="105">
        <f>[1]Irrigated!Q72</f>
        <v>26.22</v>
      </c>
      <c r="V231" s="98">
        <f>[1]Irrigated!R72</f>
        <v>15.66</v>
      </c>
      <c r="W231" s="98">
        <f>[1]Irrigated!S72</f>
        <v>17.2</v>
      </c>
      <c r="X231" s="98">
        <v>18.41</v>
      </c>
      <c r="Y231" s="98">
        <v>22.1</v>
      </c>
      <c r="Z231" s="98">
        <v>27.56</v>
      </c>
      <c r="AA231" s="98">
        <v>31.2</v>
      </c>
      <c r="AB231" s="98">
        <v>40.21</v>
      </c>
      <c r="AC231" s="98">
        <v>48.06</v>
      </c>
      <c r="AD231" s="98">
        <v>49.62</v>
      </c>
      <c r="AE231" s="98">
        <v>49.04</v>
      </c>
      <c r="AF231" s="98">
        <v>47.87</v>
      </c>
      <c r="AG231" s="106">
        <v>82.51</v>
      </c>
      <c r="AH231" s="107">
        <v>75.760000000000005</v>
      </c>
      <c r="AI231" s="107">
        <v>65.569999999999993</v>
      </c>
      <c r="AJ231" s="107">
        <v>54.81</v>
      </c>
      <c r="AK231" s="90">
        <f t="shared" si="31"/>
        <v>296</v>
      </c>
      <c r="AL231" s="90">
        <f t="shared" si="32"/>
        <v>300</v>
      </c>
      <c r="AM231" s="108">
        <f t="shared" si="33"/>
        <v>303</v>
      </c>
      <c r="AN231" s="91">
        <f t="shared" si="34"/>
        <v>321</v>
      </c>
      <c r="AO231" s="108">
        <f t="shared" si="41"/>
        <v>338</v>
      </c>
      <c r="AP231" s="109">
        <f t="shared" si="42"/>
        <v>352</v>
      </c>
      <c r="AQ231" s="110">
        <f t="shared" si="43"/>
        <v>318</v>
      </c>
      <c r="AR231" s="110">
        <f t="shared" si="43"/>
        <v>318</v>
      </c>
      <c r="AS231" s="110">
        <f t="shared" si="47"/>
        <v>313</v>
      </c>
      <c r="AT231" s="110">
        <f t="shared" si="48"/>
        <v>191</v>
      </c>
      <c r="AU231" s="110">
        <f t="shared" si="44"/>
        <v>181</v>
      </c>
      <c r="AV231" s="109">
        <f t="shared" si="45"/>
        <v>105</v>
      </c>
      <c r="AW231" s="109">
        <f>ROUND(W231/VLOOKUP($C231,CapRate,13),0)</f>
        <v>115</v>
      </c>
      <c r="AX231" s="109">
        <f>ROUND(X231/VLOOKUP($C231,CapRate,14),0)</f>
        <v>123</v>
      </c>
      <c r="AY231" s="109">
        <f>ROUND(Y231/VLOOKUP($C231,CapRate,15),0)</f>
        <v>146</v>
      </c>
      <c r="AZ231" s="109">
        <f>ROUND(Z231/VLOOKUP($C231,CapRate,16),0)</f>
        <v>182</v>
      </c>
      <c r="BA231" s="109">
        <f>ROUND(AA231/VLOOKUP($C231,CapRate,17),0)</f>
        <v>206</v>
      </c>
      <c r="BB231" s="109">
        <f>ROUND(AB231/VLOOKUP($C231,CapRate,18),0)</f>
        <v>264</v>
      </c>
      <c r="BC231" s="109">
        <f>ROUND(AC231/VLOOKUP($C231,CapRate,19),0)</f>
        <v>315</v>
      </c>
      <c r="BD231" s="109">
        <f>ROUND(AD231/VLOOKUP($C231,CapRate,20),0)</f>
        <v>324</v>
      </c>
      <c r="BE231" s="109">
        <f>ROUND(AE231/VLOOKUP($C231,CapRate,21),0)</f>
        <v>320</v>
      </c>
      <c r="BF231" s="109">
        <f>ROUND(AF231/VLOOKUP($C231,CapRate,22),0)</f>
        <v>312</v>
      </c>
      <c r="BG231" s="109">
        <f>ROUND(AG231/VLOOKUP($C231,CapRate,23),0)</f>
        <v>536</v>
      </c>
      <c r="BH231" s="109">
        <f>ROUND(AH231/VLOOKUP($C231,CapRate,24),0)</f>
        <v>492</v>
      </c>
      <c r="BI231" s="109">
        <f>ROUND(AI231/VLOOKUP($C231,CapRate,25),0)</f>
        <v>426</v>
      </c>
      <c r="BJ231" s="109">
        <f>ROUND(AJ231/VLOOKUP($C231,CapRate,26),0)</f>
        <v>356</v>
      </c>
      <c r="BK231" s="193">
        <f t="shared" si="46"/>
        <v>-0.16431924882629112</v>
      </c>
      <c r="BL231" s="114">
        <f>((F228*BK228)+(F229*BK229)+(F230*BK230)+(F231*BK231))</f>
        <v>-6.9121069284243775E-2</v>
      </c>
      <c r="BM231" s="120"/>
      <c r="BN231" s="115"/>
      <c r="BO231" s="115">
        <f>BK231</f>
        <v>-0.16431924882629112</v>
      </c>
      <c r="BP231" s="115"/>
    </row>
    <row r="232" spans="1:68" ht="15.9" customHeight="1" thickTop="1">
      <c r="A232" s="8" t="s">
        <v>110</v>
      </c>
      <c r="B232" s="22"/>
      <c r="C232" s="8" t="s">
        <v>122</v>
      </c>
      <c r="D232" s="23" t="s">
        <v>122</v>
      </c>
      <c r="E232" s="8" t="s">
        <v>39</v>
      </c>
      <c r="F232" s="188">
        <f>[1]AcreSummary!M67</f>
        <v>0.21701742269811847</v>
      </c>
      <c r="G232" s="25"/>
      <c r="H232" s="117"/>
      <c r="I232" s="57">
        <f>[1]Native!E65</f>
        <v>9.59</v>
      </c>
      <c r="J232" s="58">
        <f>[1]Native!F65</f>
        <v>8.1989999999999998</v>
      </c>
      <c r="K232" s="80">
        <f>[1]Native!G65</f>
        <v>8.11</v>
      </c>
      <c r="L232" s="68">
        <f>[1]Native!H65</f>
        <v>8.2919999999999998</v>
      </c>
      <c r="M232" s="58">
        <f>[1]Native!I65</f>
        <v>8.61</v>
      </c>
      <c r="N232" s="81">
        <f>[1]Native!J65</f>
        <v>8.74</v>
      </c>
      <c r="O232" s="62">
        <v>7.73</v>
      </c>
      <c r="P232" s="81">
        <f>[1]Native!K65</f>
        <v>8.82</v>
      </c>
      <c r="Q232" s="82">
        <f>[1]Native!L65</f>
        <v>8.9</v>
      </c>
      <c r="R232" s="83">
        <v>8.9</v>
      </c>
      <c r="S232" s="84">
        <f>[1]Native!M65</f>
        <v>9.09</v>
      </c>
      <c r="T232" s="66">
        <f>[1]Native!N65</f>
        <v>9.26</v>
      </c>
      <c r="U232" s="67">
        <f>[1]Native!O65</f>
        <v>9.25</v>
      </c>
      <c r="V232" s="67">
        <f>[1]Native!P65</f>
        <v>5.59</v>
      </c>
      <c r="W232" s="67">
        <f>[1]Native!Q65</f>
        <v>4.1900000000000004</v>
      </c>
      <c r="X232" s="68">
        <v>3.43</v>
      </c>
      <c r="Y232" s="68">
        <v>2.95</v>
      </c>
      <c r="Z232" s="68">
        <v>2.97</v>
      </c>
      <c r="AA232" s="68">
        <v>3</v>
      </c>
      <c r="AB232" s="68">
        <v>3.23</v>
      </c>
      <c r="AC232" s="68">
        <v>3.65</v>
      </c>
      <c r="AD232" s="68">
        <v>4.67</v>
      </c>
      <c r="AE232" s="68">
        <v>5.76</v>
      </c>
      <c r="AF232" s="68">
        <v>6.17</v>
      </c>
      <c r="AG232" s="69">
        <v>6.6</v>
      </c>
      <c r="AH232" s="70">
        <v>7.03</v>
      </c>
      <c r="AI232" s="70">
        <v>7.34</v>
      </c>
      <c r="AJ232" s="70">
        <v>7.77</v>
      </c>
      <c r="AK232" s="8">
        <f t="shared" si="31"/>
        <v>54</v>
      </c>
      <c r="AL232" s="8">
        <f t="shared" si="32"/>
        <v>54</v>
      </c>
      <c r="AM232" s="85">
        <f t="shared" si="33"/>
        <v>55</v>
      </c>
      <c r="AN232" s="23">
        <f t="shared" si="34"/>
        <v>58</v>
      </c>
      <c r="AO232" s="85">
        <f t="shared" si="41"/>
        <v>55</v>
      </c>
      <c r="AP232" s="72">
        <f t="shared" si="42"/>
        <v>63</v>
      </c>
      <c r="AQ232" s="71">
        <f t="shared" si="43"/>
        <v>63</v>
      </c>
      <c r="AR232" s="71">
        <f t="shared" si="43"/>
        <v>63</v>
      </c>
      <c r="AS232" s="71">
        <f t="shared" si="47"/>
        <v>65</v>
      </c>
      <c r="AT232" s="71">
        <f t="shared" si="48"/>
        <v>66</v>
      </c>
      <c r="AU232" s="71">
        <f t="shared" si="44"/>
        <v>66</v>
      </c>
      <c r="AV232" s="72">
        <f t="shared" si="45"/>
        <v>39</v>
      </c>
      <c r="AW232" s="72">
        <f>ROUND(W232/VLOOKUP($C232,CapRate,13),0)</f>
        <v>29</v>
      </c>
      <c r="AX232" s="122">
        <f>IF(ROUND(X232/VLOOKUP($C232,CapRate,14),0)&gt;10,X232/VLOOKUP($C232,CapRate,14),10)</f>
        <v>23.969252271139062</v>
      </c>
      <c r="AY232" s="122">
        <f>IF(ROUND(Y232/VLOOKUP($C232,CapRate,15),0)&gt;10,Y232/VLOOKUP($C232,CapRate,15),10)</f>
        <v>20.543175487465181</v>
      </c>
      <c r="AZ232" s="122">
        <f>IF(ROUND(Z232/VLOOKUP($C232,CapRate,16),0)&gt;10,Z232/VLOOKUP($C232,CapRate,16),10)</f>
        <v>20.668058455114824</v>
      </c>
      <c r="BA232" s="122">
        <f>IF(ROUND(AA232/VLOOKUP($C232,CapRate,17),0)&gt;10,AA232/VLOOKUP($C232,CapRate,17),10)</f>
        <v>20.818875780707842</v>
      </c>
      <c r="BB232" s="122">
        <f>IF(ROUND(AB232/VLOOKUP($C232,CapRate,18),0)&gt;10,AB232/VLOOKUP($C232,CapRate,18),10)</f>
        <v>22.383922383922382</v>
      </c>
      <c r="BC232" s="122">
        <f>IF(ROUND(AC232/VLOOKUP($C232,CapRate,19),0)&gt;10,AC232/VLOOKUP($C232,CapRate,19),10)</f>
        <v>25.294525294525293</v>
      </c>
      <c r="BD232" s="122">
        <f>IF(ROUND(AD232/VLOOKUP($C232,CapRate,20),0)&gt;10,AD232/VLOOKUP($C232,CapRate,20),10)</f>
        <v>32.340720221606645</v>
      </c>
      <c r="BE232" s="122">
        <f>IF(ROUND(AE232/VLOOKUP($C232,CapRate,21),0)&gt;10,AE232/VLOOKUP($C232,CapRate,21),10)</f>
        <v>39.86159169550173</v>
      </c>
      <c r="BF232" s="122">
        <f>IF(ROUND(AF232/VLOOKUP($C232,CapRate,22),0)&gt;10,AF232/VLOOKUP($C232,CapRate,22),10)</f>
        <v>42.698961937716263</v>
      </c>
      <c r="BG232" s="122">
        <f>IF(ROUND(AG232/VLOOKUP($C232,CapRate,23),0)&gt;10,AG232/VLOOKUP($C232,CapRate,23),10)</f>
        <v>45.643153526970949</v>
      </c>
      <c r="BH232" s="122">
        <f>IF(ROUND(AH232/VLOOKUP($C232,CapRate,24),0)&gt;10,AH232/VLOOKUP($C232,CapRate,24),10)</f>
        <v>48.650519031141876</v>
      </c>
      <c r="BI232" s="122">
        <f>IF(ROUND(AI232/VLOOKUP($C232,CapRate,25),0)&gt;10,AI232/VLOOKUP($C232,CapRate,25),10)</f>
        <v>50.760719225449513</v>
      </c>
      <c r="BJ232" s="122">
        <f>IF(ROUND(AJ232/VLOOKUP($C232,CapRate,26),0)&gt;10,AJ232/VLOOKUP($C232,CapRate,26),10)</f>
        <v>53.73443983402489</v>
      </c>
      <c r="BK232" s="75">
        <f t="shared" si="46"/>
        <v>5.8583106267029894E-2</v>
      </c>
      <c r="BL232" s="76"/>
      <c r="BM232" s="77">
        <f>BK232</f>
        <v>5.8583106267029894E-2</v>
      </c>
      <c r="BN232" s="77"/>
      <c r="BO232" s="77"/>
      <c r="BP232" s="77"/>
    </row>
    <row r="233" spans="1:68" ht="15.9" customHeight="1">
      <c r="A233" s="8"/>
      <c r="B233" s="22"/>
      <c r="C233" s="8" t="s">
        <v>122</v>
      </c>
      <c r="D233" s="23"/>
      <c r="E233" s="8" t="s">
        <v>85</v>
      </c>
      <c r="F233" s="188">
        <f>[1]AcreSummary!L67</f>
        <v>4.0526698449674915E-2</v>
      </c>
      <c r="G233" s="25"/>
      <c r="H233" s="117"/>
      <c r="I233" s="57"/>
      <c r="J233" s="58">
        <f>[1]Tame!D34</f>
        <v>10.326000000000001</v>
      </c>
      <c r="K233" s="80">
        <f>[1]Tame!E34</f>
        <v>9.9260000000000002</v>
      </c>
      <c r="L233" s="68">
        <f>[1]Tame!F34</f>
        <v>9.5960000000000001</v>
      </c>
      <c r="M233" s="58">
        <f>[1]Tame!G34</f>
        <v>9.5630000000000006</v>
      </c>
      <c r="N233" s="81">
        <f>[1]Tame!H34</f>
        <v>9.2899999999999991</v>
      </c>
      <c r="O233" s="62">
        <v>8.61</v>
      </c>
      <c r="P233" s="81">
        <f>[1]Tame!I34</f>
        <v>8.91</v>
      </c>
      <c r="Q233" s="82">
        <f>[1]Tame!J34</f>
        <v>8.7799999999999994</v>
      </c>
      <c r="R233" s="83">
        <v>8.7799999999999994</v>
      </c>
      <c r="S233" s="84">
        <f>[1]Tame!K34</f>
        <v>8.34</v>
      </c>
      <c r="T233" s="66">
        <f>[1]Tame!L34</f>
        <v>7.7</v>
      </c>
      <c r="U233" s="67">
        <f>[1]Tame!M34</f>
        <v>7.79</v>
      </c>
      <c r="V233" s="68">
        <f>[1]Tame!N34</f>
        <v>2.17</v>
      </c>
      <c r="W233" s="68">
        <f>[1]Tame!O34</f>
        <v>-0.54</v>
      </c>
      <c r="X233" s="68">
        <v>-1.71</v>
      </c>
      <c r="Y233" s="68">
        <v>-2.72</v>
      </c>
      <c r="Z233" s="68">
        <v>-3.13</v>
      </c>
      <c r="AA233" s="68">
        <v>-1.98</v>
      </c>
      <c r="AB233" s="68">
        <v>-0.7</v>
      </c>
      <c r="AC233" s="68">
        <v>0.88</v>
      </c>
      <c r="AD233" s="68">
        <v>4.3600000000000003</v>
      </c>
      <c r="AE233" s="68">
        <v>7.59</v>
      </c>
      <c r="AF233" s="68">
        <v>9.1199999999999992</v>
      </c>
      <c r="AG233" s="69">
        <v>10.74</v>
      </c>
      <c r="AH233" s="70">
        <v>12.4</v>
      </c>
      <c r="AI233" s="70">
        <v>12.59</v>
      </c>
      <c r="AJ233" s="70">
        <v>12.73</v>
      </c>
      <c r="AK233" s="8">
        <f>ROUND(J233/VLOOKUP($C233,CapRate,2),0)</f>
        <v>68</v>
      </c>
      <c r="AL233" s="8">
        <f>ROUND(K233/VLOOKUP($C233,CapRate,3),0)</f>
        <v>66</v>
      </c>
      <c r="AM233" s="85">
        <f>ROUND(L233/VLOOKUP($C233,CapRate,4),0)</f>
        <v>63</v>
      </c>
      <c r="AN233" s="23">
        <f>ROUND(M233/VLOOKUP($C233,CapRate,5),0)</f>
        <v>65</v>
      </c>
      <c r="AO233" s="85">
        <f t="shared" si="41"/>
        <v>61</v>
      </c>
      <c r="AP233" s="72">
        <f t="shared" si="42"/>
        <v>64</v>
      </c>
      <c r="AQ233" s="71">
        <f t="shared" si="43"/>
        <v>63</v>
      </c>
      <c r="AR233" s="71">
        <f t="shared" si="43"/>
        <v>63</v>
      </c>
      <c r="AS233" s="71">
        <f t="shared" si="47"/>
        <v>59</v>
      </c>
      <c r="AT233" s="71">
        <f t="shared" si="48"/>
        <v>55</v>
      </c>
      <c r="AU233" s="71">
        <f t="shared" si="44"/>
        <v>55</v>
      </c>
      <c r="AV233" s="72">
        <f>IF(ROUND(V233/VLOOKUP($C233,CapRate,12),0)&gt;AV232,V233/VLOOKUP($C233,CapRate,12),AV232)</f>
        <v>39</v>
      </c>
      <c r="AW233" s="72">
        <f>IF(ROUND(W233/VLOOKUP($C233,CapRate,13),0)&gt;AW232,W233/VLOOKUP($C233,CapRate,13),AW232)</f>
        <v>29</v>
      </c>
      <c r="AX233" s="72">
        <f>IF(ROUND(X233/VLOOKUP($C233,CapRate,14),0)&gt;AX232,X233/VLOOKUP($C233,CapRate,14),AX232)</f>
        <v>23.969252271139062</v>
      </c>
      <c r="AY233" s="72">
        <f>IF(ROUND(Y233/VLOOKUP($C233,CapRate,15),0)&gt;AY232,Y233/VLOOKUP($C233,CapRate,15),AY232)</f>
        <v>20.543175487465181</v>
      </c>
      <c r="AZ233" s="72">
        <f>IF(ROUND(Z233/VLOOKUP($C233,CapRate,16),0)&gt;AZ232,Z233/VLOOKUP($C233,CapRate,16),AZ232)</f>
        <v>20.668058455114824</v>
      </c>
      <c r="BA233" s="72">
        <f>IF(ROUND(AA233/VLOOKUP($C233,CapRate,17),0)&gt;BA232,AA233/VLOOKUP($C233,CapRate,17),BA232)</f>
        <v>20.818875780707842</v>
      </c>
      <c r="BB233" s="72">
        <f>IF(ROUND(AB233/VLOOKUP($C233,CapRate,18),0)&gt;BB232,AB233/VLOOKUP($C233,CapRate,18),BB232)</f>
        <v>22.383922383922382</v>
      </c>
      <c r="BC233" s="72">
        <f>IF(ROUND(AC233/VLOOKUP($C233,CapRate,19),0)&gt;BC232,AC233/VLOOKUP($C233,CapRate,19),BC232)</f>
        <v>25.294525294525293</v>
      </c>
      <c r="BD233" s="72">
        <f>IF(ROUND(AD233/VLOOKUP($C233,CapRate,20),0)&gt;BD232,AD233/VLOOKUP($C233,CapRate,20),BD232)</f>
        <v>32.340720221606645</v>
      </c>
      <c r="BE233" s="72">
        <f>IF(ROUND(AE233/VLOOKUP($C233,CapRate,21),0)&gt;BE232,AE233/VLOOKUP($C233,CapRate,21),BE232)</f>
        <v>52.525951557093428</v>
      </c>
      <c r="BF233" s="72">
        <f>IF(ROUND(AF233/VLOOKUP($C233,CapRate,22),0)&gt;BF232,AF233/VLOOKUP($C233,CapRate,22),BF232)</f>
        <v>63.114186851211073</v>
      </c>
      <c r="BG233" s="72">
        <f>IF(ROUND(AG233/VLOOKUP($C233,CapRate,23),0)&gt;BG232,AG233/VLOOKUP($C233,CapRate,23),BG232)</f>
        <v>74.273858921161818</v>
      </c>
      <c r="BH233" s="72">
        <f>IF(ROUND(AH233/VLOOKUP($C233,CapRate,24),0)&gt;BH232,AH233/VLOOKUP($C233,CapRate,24),BH232)</f>
        <v>85.81314878892735</v>
      </c>
      <c r="BI233" s="72">
        <f>IF(ROUND(AI233/VLOOKUP($C233,CapRate,25),0)&gt;BI232,AI233/VLOOKUP($C233,CapRate,25),BI232)</f>
        <v>87.067773167358226</v>
      </c>
      <c r="BJ233" s="72">
        <f>IF(ROUND(AJ233/VLOOKUP($C233,CapRate,26),0)&gt;BJ232,AJ233/VLOOKUP($C233,CapRate,26),BJ232)</f>
        <v>88.035961272475788</v>
      </c>
      <c r="BK233" s="87">
        <f t="shared" si="46"/>
        <v>1.1119936457505863E-2</v>
      </c>
      <c r="BL233" s="76"/>
      <c r="BM233" s="77"/>
      <c r="BN233" s="77"/>
      <c r="BO233" s="77"/>
      <c r="BP233" s="77">
        <f>BK233</f>
        <v>1.1119936457505863E-2</v>
      </c>
    </row>
    <row r="234" spans="1:68" ht="15.9" customHeight="1">
      <c r="A234" s="8" t="s">
        <v>110</v>
      </c>
      <c r="B234" s="22"/>
      <c r="C234" s="8" t="s">
        <v>122</v>
      </c>
      <c r="D234" s="23"/>
      <c r="E234" s="8" t="s">
        <v>40</v>
      </c>
      <c r="F234" s="188">
        <f>[1]AcreSummary!J67</f>
        <v>0.65164893193410767</v>
      </c>
      <c r="G234" s="25"/>
      <c r="H234" s="117"/>
      <c r="I234" s="57">
        <f>[1]Dry!E67</f>
        <v>20.32</v>
      </c>
      <c r="J234" s="58">
        <f>[1]Dry!F67</f>
        <v>20.34</v>
      </c>
      <c r="K234" s="80">
        <f>[1]Dry!G67</f>
        <v>20.440000000000001</v>
      </c>
      <c r="L234" s="68">
        <f>[1]Dry!H67</f>
        <v>21</v>
      </c>
      <c r="M234" s="58">
        <f>[1]Dry!I67</f>
        <v>22.13</v>
      </c>
      <c r="N234" s="81">
        <f>[1]Dry!J67</f>
        <v>22.98</v>
      </c>
      <c r="O234" s="62">
        <v>38.5</v>
      </c>
      <c r="P234" s="81">
        <f>[1]Dry!K67</f>
        <v>24.44</v>
      </c>
      <c r="Q234" s="82">
        <f>[1]Dry!L67</f>
        <v>25.76</v>
      </c>
      <c r="R234" s="83">
        <f>Q234*0.95</f>
        <v>24.472000000000001</v>
      </c>
      <c r="S234" s="84">
        <f>[1]Dry!N67</f>
        <v>26.49</v>
      </c>
      <c r="T234" s="66">
        <f>[1]Dry!O67</f>
        <v>27.06</v>
      </c>
      <c r="U234" s="67">
        <f>[1]Dry!P67</f>
        <v>26.77</v>
      </c>
      <c r="V234" s="68">
        <f>[1]Dry!Q67</f>
        <v>10.53</v>
      </c>
      <c r="W234" s="68">
        <f>[1]Dry!R67</f>
        <v>11.19</v>
      </c>
      <c r="X234" s="68">
        <f>[1]Dry!S67</f>
        <v>11.89</v>
      </c>
      <c r="Y234" s="68">
        <f>[1]Dry!T67</f>
        <v>13</v>
      </c>
      <c r="Z234" s="68">
        <v>14.48</v>
      </c>
      <c r="AA234" s="68">
        <v>31.69</v>
      </c>
      <c r="AB234" s="68">
        <v>34.380000000000003</v>
      </c>
      <c r="AC234" s="68">
        <v>36.07</v>
      </c>
      <c r="AD234" s="68">
        <v>35.92</v>
      </c>
      <c r="AE234" s="68">
        <v>34.950000000000003</v>
      </c>
      <c r="AF234" s="68">
        <v>34.47</v>
      </c>
      <c r="AG234" s="69">
        <v>33.36</v>
      </c>
      <c r="AH234" s="70">
        <v>29.59</v>
      </c>
      <c r="AI234" s="70">
        <v>24.13</v>
      </c>
      <c r="AJ234" s="70">
        <v>20.81</v>
      </c>
      <c r="AK234" s="8">
        <f t="shared" si="31"/>
        <v>134</v>
      </c>
      <c r="AL234" s="8">
        <f t="shared" si="32"/>
        <v>136</v>
      </c>
      <c r="AM234" s="85">
        <f t="shared" si="33"/>
        <v>138</v>
      </c>
      <c r="AN234" s="23">
        <f t="shared" si="34"/>
        <v>149</v>
      </c>
      <c r="AO234" s="85">
        <f t="shared" si="41"/>
        <v>272</v>
      </c>
      <c r="AP234" s="72">
        <f t="shared" si="42"/>
        <v>175</v>
      </c>
      <c r="AQ234" s="71">
        <f t="shared" si="43"/>
        <v>183</v>
      </c>
      <c r="AR234" s="71">
        <f t="shared" si="43"/>
        <v>174</v>
      </c>
      <c r="AS234" s="71">
        <f t="shared" si="47"/>
        <v>188</v>
      </c>
      <c r="AT234" s="71">
        <f t="shared" si="48"/>
        <v>193</v>
      </c>
      <c r="AU234" s="71">
        <f t="shared" si="44"/>
        <v>190</v>
      </c>
      <c r="AV234" s="72">
        <f t="shared" si="45"/>
        <v>74</v>
      </c>
      <c r="AW234" s="72">
        <f>ROUND(W234/VLOOKUP($C234,CapRate,13),0)</f>
        <v>78</v>
      </c>
      <c r="AX234" s="72">
        <f>ROUND(X234/VLOOKUP($C234,CapRate,14),0)</f>
        <v>83</v>
      </c>
      <c r="AY234" s="72">
        <f>ROUND(Y234/VLOOKUP($C234,CapRate,15),0)</f>
        <v>91</v>
      </c>
      <c r="AZ234" s="72">
        <f>ROUND(Z234/VLOOKUP($C234,CapRate,16),0)</f>
        <v>101</v>
      </c>
      <c r="BA234" s="72">
        <f>ROUND(AA234/VLOOKUP($C234,CapRate,17),0)</f>
        <v>220</v>
      </c>
      <c r="BB234" s="72">
        <f>ROUND(AB234/VLOOKUP($C234,CapRate,18),0)</f>
        <v>238</v>
      </c>
      <c r="BC234" s="72">
        <f>ROUND(AC234/VLOOKUP($C234,CapRate,19),0)</f>
        <v>250</v>
      </c>
      <c r="BD234" s="72">
        <f>ROUND(AD234/VLOOKUP($C234,CapRate,20),0)</f>
        <v>249</v>
      </c>
      <c r="BE234" s="72">
        <f>ROUND(AE234/VLOOKUP($C234,CapRate,21),0)</f>
        <v>242</v>
      </c>
      <c r="BF234" s="72">
        <f>ROUND(AF234/VLOOKUP($C234,CapRate,22),0)</f>
        <v>239</v>
      </c>
      <c r="BG234" s="72">
        <f>ROUND(AG234/VLOOKUP($C234,CapRate,23),0)</f>
        <v>231</v>
      </c>
      <c r="BH234" s="72">
        <f>ROUND(AH234/VLOOKUP($C234,CapRate,24),0)</f>
        <v>205</v>
      </c>
      <c r="BI234" s="72">
        <f>ROUND(AI234/VLOOKUP($C234,CapRate,25),0)</f>
        <v>167</v>
      </c>
      <c r="BJ234" s="72">
        <f>ROUND(AJ234/VLOOKUP($C234,CapRate,26),0)</f>
        <v>144</v>
      </c>
      <c r="BK234" s="87">
        <f t="shared" si="46"/>
        <v>-0.13772455089820357</v>
      </c>
      <c r="BL234" s="76"/>
      <c r="BM234" s="77"/>
      <c r="BN234" s="77">
        <f>BK234</f>
        <v>-0.13772455089820357</v>
      </c>
      <c r="BO234" s="77"/>
      <c r="BP234" s="77"/>
    </row>
    <row r="235" spans="1:68" ht="15.9" customHeight="1" thickBot="1">
      <c r="A235" s="8" t="s">
        <v>110</v>
      </c>
      <c r="B235" s="22"/>
      <c r="C235" s="90" t="s">
        <v>122</v>
      </c>
      <c r="D235" s="91"/>
      <c r="E235" s="90" t="s">
        <v>41</v>
      </c>
      <c r="F235" s="190">
        <f>[1]AcreSummary!K67</f>
        <v>9.0806946918099027E-2</v>
      </c>
      <c r="G235" s="191">
        <f>[1]Irrigated!D73</f>
        <v>100</v>
      </c>
      <c r="H235" s="94">
        <f>[1]Irrigated!E73</f>
        <v>0.98</v>
      </c>
      <c r="I235" s="95"/>
      <c r="J235" s="96">
        <f>[1]Irrigated!H73</f>
        <v>44.94</v>
      </c>
      <c r="K235" s="97">
        <f>[1]Irrigated!I73</f>
        <v>46.38</v>
      </c>
      <c r="L235" s="98">
        <f>[1]Irrigated!J73</f>
        <v>48.37</v>
      </c>
      <c r="M235" s="96">
        <f>[1]Irrigated!K73</f>
        <v>51.24</v>
      </c>
      <c r="N235" s="99">
        <f>[1]Irrigated!L73</f>
        <v>54</v>
      </c>
      <c r="O235" s="100">
        <v>47.16</v>
      </c>
      <c r="P235" s="99">
        <f>[1]Irrigated!M73</f>
        <v>55.32</v>
      </c>
      <c r="Q235" s="101">
        <f>[1]Irrigated!N73</f>
        <v>54.17</v>
      </c>
      <c r="R235" s="102">
        <v>54.17</v>
      </c>
      <c r="S235" s="103">
        <f>[1]Irrigated!O73</f>
        <v>53.35</v>
      </c>
      <c r="T235" s="104">
        <f>[1]Irrigated!P73</f>
        <v>52.63</v>
      </c>
      <c r="U235" s="105">
        <f>[1]Irrigated!Q73</f>
        <v>49.95</v>
      </c>
      <c r="V235" s="98">
        <f>[1]Irrigated!R73</f>
        <v>35.549999999999997</v>
      </c>
      <c r="W235" s="98">
        <f>[1]Irrigated!S73</f>
        <v>34.93</v>
      </c>
      <c r="X235" s="98">
        <v>36.79</v>
      </c>
      <c r="Y235" s="98">
        <v>43.47</v>
      </c>
      <c r="Z235" s="98">
        <v>50.26</v>
      </c>
      <c r="AA235" s="98">
        <v>55.53</v>
      </c>
      <c r="AB235" s="98">
        <v>65.709999999999994</v>
      </c>
      <c r="AC235" s="98">
        <v>74.47</v>
      </c>
      <c r="AD235" s="98">
        <v>78.31</v>
      </c>
      <c r="AE235" s="98">
        <v>80.709999999999994</v>
      </c>
      <c r="AF235" s="98">
        <v>82</v>
      </c>
      <c r="AG235" s="106">
        <v>81.97</v>
      </c>
      <c r="AH235" s="107">
        <v>75.25</v>
      </c>
      <c r="AI235" s="107">
        <v>74.17</v>
      </c>
      <c r="AJ235" s="107">
        <v>63.6</v>
      </c>
      <c r="AK235" s="90">
        <f t="shared" si="31"/>
        <v>297</v>
      </c>
      <c r="AL235" s="90">
        <f t="shared" si="32"/>
        <v>308</v>
      </c>
      <c r="AM235" s="108">
        <f t="shared" si="33"/>
        <v>319</v>
      </c>
      <c r="AN235" s="91">
        <f t="shared" si="34"/>
        <v>346</v>
      </c>
      <c r="AO235" s="108">
        <f t="shared" si="41"/>
        <v>333</v>
      </c>
      <c r="AP235" s="109">
        <f t="shared" si="42"/>
        <v>395</v>
      </c>
      <c r="AQ235" s="110">
        <f t="shared" si="43"/>
        <v>386</v>
      </c>
      <c r="AR235" s="110">
        <f t="shared" si="43"/>
        <v>386</v>
      </c>
      <c r="AS235" s="110">
        <f t="shared" si="47"/>
        <v>380</v>
      </c>
      <c r="AT235" s="110">
        <f t="shared" si="48"/>
        <v>375</v>
      </c>
      <c r="AU235" s="110">
        <f t="shared" si="44"/>
        <v>355</v>
      </c>
      <c r="AV235" s="109">
        <f t="shared" si="45"/>
        <v>249</v>
      </c>
      <c r="AW235" s="109">
        <f>ROUND(W235/VLOOKUP($C235,CapRate,13),0)</f>
        <v>244</v>
      </c>
      <c r="AX235" s="109">
        <f>ROUND(X235/VLOOKUP($C235,CapRate,14),0)</f>
        <v>257</v>
      </c>
      <c r="AY235" s="109">
        <f>ROUND(Y235/VLOOKUP($C235,CapRate,15),0)</f>
        <v>303</v>
      </c>
      <c r="AZ235" s="109">
        <f>ROUND(Z235/VLOOKUP($C235,CapRate,16),0)</f>
        <v>350</v>
      </c>
      <c r="BA235" s="109">
        <f>ROUND(AA235/VLOOKUP($C235,CapRate,17),0)</f>
        <v>385</v>
      </c>
      <c r="BB235" s="109">
        <f>ROUND(AB235/VLOOKUP($C235,CapRate,18),0)</f>
        <v>455</v>
      </c>
      <c r="BC235" s="109">
        <f>ROUND(AC235/VLOOKUP($C235,CapRate,19),0)</f>
        <v>516</v>
      </c>
      <c r="BD235" s="109">
        <f>ROUND(AD235/VLOOKUP($C235,CapRate,20),0)</f>
        <v>542</v>
      </c>
      <c r="BE235" s="109">
        <f>ROUND(AE235/VLOOKUP($C235,CapRate,21),0)</f>
        <v>559</v>
      </c>
      <c r="BF235" s="109">
        <f>ROUND(AF235/VLOOKUP($C235,CapRate,22),0)</f>
        <v>567</v>
      </c>
      <c r="BG235" s="109">
        <f>ROUND(AG235/VLOOKUP($C235,CapRate,23),0)</f>
        <v>567</v>
      </c>
      <c r="BH235" s="109">
        <f>ROUND(AH235/VLOOKUP($C235,CapRate,24),0)</f>
        <v>521</v>
      </c>
      <c r="BI235" s="109">
        <f>ROUND(AI235/VLOOKUP($C235,CapRate,25),0)</f>
        <v>513</v>
      </c>
      <c r="BJ235" s="109">
        <f>ROUND(AJ235/VLOOKUP($C235,CapRate,26),0)</f>
        <v>440</v>
      </c>
      <c r="BK235" s="193">
        <f t="shared" si="46"/>
        <v>-0.14230019493177393</v>
      </c>
      <c r="BL235" s="114">
        <f>((F232*BK232)+(F233*BK233)+(F234*BK234)+(F235*BK235))</f>
        <v>-8.9505693694210048E-2</v>
      </c>
      <c r="BM235" s="120"/>
      <c r="BN235" s="115"/>
      <c r="BO235" s="115">
        <f>BK235</f>
        <v>-0.14230019493177393</v>
      </c>
      <c r="BP235" s="115"/>
    </row>
    <row r="236" spans="1:68" ht="15.9" customHeight="1" thickTop="1">
      <c r="A236" s="8" t="s">
        <v>110</v>
      </c>
      <c r="B236" s="22"/>
      <c r="C236" s="23" t="s">
        <v>123</v>
      </c>
      <c r="D236" s="23" t="s">
        <v>123</v>
      </c>
      <c r="E236" s="8" t="s">
        <v>39</v>
      </c>
      <c r="F236" s="188">
        <f>[1]AcreSummary!M68</f>
        <v>0.2523000050513764</v>
      </c>
      <c r="G236" s="25"/>
      <c r="H236" s="117"/>
      <c r="I236" s="57">
        <f>[1]Native!E66</f>
        <v>6.2</v>
      </c>
      <c r="J236" s="58">
        <f>[1]Native!F66</f>
        <v>5.65</v>
      </c>
      <c r="K236" s="59">
        <f>[1]Native!G66</f>
        <v>5.57</v>
      </c>
      <c r="L236" s="60">
        <f>[1]Native!H66</f>
        <v>5.67</v>
      </c>
      <c r="M236" s="61">
        <f>[1]Native!I66</f>
        <v>5.87</v>
      </c>
      <c r="N236" s="62">
        <f>[1]Native!J66</f>
        <v>5.93</v>
      </c>
      <c r="O236" s="62">
        <v>6.06</v>
      </c>
      <c r="P236" s="62">
        <f>[1]Native!K66</f>
        <v>5.98</v>
      </c>
      <c r="Q236" s="63">
        <f>[1]Native!L66</f>
        <v>6.04</v>
      </c>
      <c r="R236" s="64">
        <v>6.04</v>
      </c>
      <c r="S236" s="65">
        <f>[1]Native!M66</f>
        <v>6.22</v>
      </c>
      <c r="T236" s="66">
        <f>[1]Native!N66</f>
        <v>6.32</v>
      </c>
      <c r="U236" s="67">
        <f>[1]Native!O66</f>
        <v>6.45</v>
      </c>
      <c r="V236" s="68">
        <f>[1]Native!P66</f>
        <v>4.68</v>
      </c>
      <c r="W236" s="68">
        <v>3.98</v>
      </c>
      <c r="X236" s="68">
        <v>4.3099999999999996</v>
      </c>
      <c r="Y236" s="68">
        <v>4.34</v>
      </c>
      <c r="Z236" s="68">
        <v>5.21</v>
      </c>
      <c r="AA236" s="68">
        <v>5.97</v>
      </c>
      <c r="AB236" s="68">
        <v>6.43</v>
      </c>
      <c r="AC236" s="68">
        <v>6.92</v>
      </c>
      <c r="AD236" s="68">
        <v>8.06</v>
      </c>
      <c r="AE236" s="68">
        <v>9.25</v>
      </c>
      <c r="AF236" s="68">
        <v>9.75</v>
      </c>
      <c r="AG236" s="69">
        <v>10.24</v>
      </c>
      <c r="AH236" s="70">
        <v>10.77</v>
      </c>
      <c r="AI236" s="70">
        <v>11.47</v>
      </c>
      <c r="AJ236" s="70">
        <v>11.7</v>
      </c>
      <c r="AK236" s="8">
        <f t="shared" si="31"/>
        <v>37</v>
      </c>
      <c r="AL236" s="8">
        <f t="shared" si="32"/>
        <v>37</v>
      </c>
      <c r="AM236" s="71">
        <f t="shared" si="33"/>
        <v>37</v>
      </c>
      <c r="AN236" s="72">
        <f t="shared" si="34"/>
        <v>39</v>
      </c>
      <c r="AO236" s="71">
        <f t="shared" si="41"/>
        <v>41</v>
      </c>
      <c r="AP236" s="72">
        <f t="shared" si="42"/>
        <v>41</v>
      </c>
      <c r="AQ236" s="71">
        <f t="shared" si="43"/>
        <v>41</v>
      </c>
      <c r="AR236" s="71">
        <f t="shared" si="43"/>
        <v>41</v>
      </c>
      <c r="AS236" s="71">
        <f t="shared" si="47"/>
        <v>42</v>
      </c>
      <c r="AT236" s="71">
        <f t="shared" si="48"/>
        <v>42</v>
      </c>
      <c r="AU236" s="71">
        <f t="shared" si="44"/>
        <v>43</v>
      </c>
      <c r="AV236" s="72">
        <f t="shared" si="45"/>
        <v>31</v>
      </c>
      <c r="AW236" s="72">
        <f>ROUND(W236/VLOOKUP($C236,CapRate,13),0)</f>
        <v>26</v>
      </c>
      <c r="AX236" s="122">
        <f>IF(ROUND(X236/VLOOKUP($C236,CapRate,14),0)&gt;10,X236/VLOOKUP($C236,CapRate,14),10)</f>
        <v>28.618857901726422</v>
      </c>
      <c r="AY236" s="122">
        <f>IF(ROUND(Y236/VLOOKUP($C236,CapRate,15),0)&gt;10,Y236/VLOOKUP($C236,CapRate,15),10)</f>
        <v>28.894806924101196</v>
      </c>
      <c r="AZ236" s="122">
        <f>IF(ROUND(Z236/VLOOKUP($C236,CapRate,16),0)&gt;10,Z236/VLOOKUP($C236,CapRate,16),10)</f>
        <v>34.664005322687963</v>
      </c>
      <c r="BA236" s="122">
        <f>IF(ROUND(AA236/VLOOKUP($C236,CapRate,17),0)&gt;10,AA236/VLOOKUP($C236,CapRate,17),10)</f>
        <v>39.588859416445622</v>
      </c>
      <c r="BB236" s="122">
        <f>IF(ROUND(AB236/VLOOKUP($C236,CapRate,18),0)&gt;10,AB236/VLOOKUP($C236,CapRate,18),10)</f>
        <v>42.554599602911971</v>
      </c>
      <c r="BC236" s="122">
        <f>IF(ROUND(AC236/VLOOKUP($C236,CapRate,19),0)&gt;10,AC236/VLOOKUP($C236,CapRate,19),10)</f>
        <v>45.706737120211358</v>
      </c>
      <c r="BD236" s="122">
        <f>IF(ROUND(AD236/VLOOKUP($C236,CapRate,20),0)&gt;10,AD236/VLOOKUP($C236,CapRate,20),10)</f>
        <v>53.201320132013208</v>
      </c>
      <c r="BE236" s="122">
        <f>IF(ROUND(AE236/VLOOKUP($C236,CapRate,21),0)&gt;10,AE236/VLOOKUP($C236,CapRate,21),10)</f>
        <v>60.975609756097562</v>
      </c>
      <c r="BF236" s="122">
        <f>IF(ROUND(AF236/VLOOKUP($C236,CapRate,22),0)&gt;10,AF236/VLOOKUP($C236,CapRate,22),10)</f>
        <v>64.271588661832567</v>
      </c>
      <c r="BG236" s="122">
        <f>IF(ROUND(AG236/VLOOKUP($C236,CapRate,23),0)&gt;10,AG236/VLOOKUP($C236,CapRate,23),10)</f>
        <v>67.368421052631575</v>
      </c>
      <c r="BH236" s="122">
        <f>IF(ROUND(AH236/VLOOKUP($C236,CapRate,24),0)&gt;10,AH236/VLOOKUP($C236,CapRate,24),10)</f>
        <v>70.762155059132709</v>
      </c>
      <c r="BI236" s="122">
        <f>IF(ROUND(AI236/VLOOKUP($C236,CapRate,25),0)&gt;10,AI236/VLOOKUP($C236,CapRate,25),10)</f>
        <v>75.311884438608018</v>
      </c>
      <c r="BJ236" s="122">
        <f>IF(ROUND(AJ236/VLOOKUP($C236,CapRate,26),0)&gt;10,AJ236/VLOOKUP($C236,CapRate,26),10)</f>
        <v>76.771653543307082</v>
      </c>
      <c r="BK236" s="75">
        <f t="shared" si="46"/>
        <v>1.938298471191513E-2</v>
      </c>
      <c r="BL236" s="76"/>
      <c r="BM236" s="77">
        <f>BK236</f>
        <v>1.938298471191513E-2</v>
      </c>
      <c r="BN236" s="77"/>
      <c r="BO236" s="77"/>
      <c r="BP236" s="77"/>
    </row>
    <row r="237" spans="1:68" ht="15.9" customHeight="1">
      <c r="A237" s="8"/>
      <c r="B237" s="22"/>
      <c r="C237" s="23" t="s">
        <v>123</v>
      </c>
      <c r="D237" s="23"/>
      <c r="E237" s="8" t="s">
        <v>85</v>
      </c>
      <c r="F237" s="188">
        <f>[1]AcreSummary!L68</f>
        <v>6.3547288032781658E-3</v>
      </c>
      <c r="G237" s="25"/>
      <c r="H237" s="117"/>
      <c r="I237" s="57"/>
      <c r="J237" s="58">
        <f>[1]Tame!D35</f>
        <v>8.8758999999999997</v>
      </c>
      <c r="K237" s="80">
        <f>[1]Tame!E35</f>
        <v>8.0190000000000001</v>
      </c>
      <c r="L237" s="68">
        <f>[1]Tame!F35</f>
        <v>7.1559999999999997</v>
      </c>
      <c r="M237" s="58">
        <f>[1]Tame!G35</f>
        <v>6.4470000000000001</v>
      </c>
      <c r="N237" s="81">
        <f>[1]Tame!H35</f>
        <v>5.45</v>
      </c>
      <c r="O237" s="62">
        <v>6.86</v>
      </c>
      <c r="P237" s="81">
        <f>[1]Tame!I35</f>
        <v>4.3899999999999997</v>
      </c>
      <c r="Q237" s="82">
        <f>[1]Tame!J35</f>
        <v>4.1399999999999997</v>
      </c>
      <c r="R237" s="83">
        <v>4.1399999999999997</v>
      </c>
      <c r="S237" s="84">
        <f>[1]Tame!K35</f>
        <v>3.25</v>
      </c>
      <c r="T237" s="66">
        <f>[1]Tame!L35</f>
        <v>1.64</v>
      </c>
      <c r="U237" s="67">
        <f>[1]Tame!M35</f>
        <v>1.72</v>
      </c>
      <c r="V237" s="68">
        <f>[1]Tame!N35</f>
        <v>-2.5</v>
      </c>
      <c r="W237" s="68">
        <f>[1]Tame!O35</f>
        <v>-4.95</v>
      </c>
      <c r="X237" s="68">
        <v>-5.87</v>
      </c>
      <c r="Y237" s="68">
        <v>-6.65</v>
      </c>
      <c r="Z237" s="68">
        <v>-6.64</v>
      </c>
      <c r="AA237" s="68">
        <v>-5.3</v>
      </c>
      <c r="AB237" s="68">
        <v>-4.51</v>
      </c>
      <c r="AC237" s="68">
        <v>-3.34</v>
      </c>
      <c r="AD237" s="68">
        <v>-0.09</v>
      </c>
      <c r="AE237" s="68">
        <v>2.96</v>
      </c>
      <c r="AF237" s="68">
        <v>4.4000000000000004</v>
      </c>
      <c r="AG237" s="69">
        <v>5.83</v>
      </c>
      <c r="AH237" s="70">
        <v>7.26</v>
      </c>
      <c r="AI237" s="70">
        <v>7.3</v>
      </c>
      <c r="AJ237" s="70">
        <v>7.85</v>
      </c>
      <c r="AK237" s="8">
        <f>ROUND(J237/VLOOKUP($C237,CapRate,2),0)</f>
        <v>59</v>
      </c>
      <c r="AL237" s="8">
        <f>ROUND(K237/VLOOKUP($C237,CapRate,3),0)</f>
        <v>53</v>
      </c>
      <c r="AM237" s="85">
        <f>ROUND(L237/VLOOKUP($C237,CapRate,4),0)</f>
        <v>47</v>
      </c>
      <c r="AN237" s="23">
        <f>ROUND(M237/VLOOKUP($C237,CapRate,5),0)</f>
        <v>43</v>
      </c>
      <c r="AO237" s="85">
        <f t="shared" si="41"/>
        <v>47</v>
      </c>
      <c r="AP237" s="72">
        <f t="shared" si="42"/>
        <v>30</v>
      </c>
      <c r="AQ237" s="71">
        <f t="shared" si="43"/>
        <v>28</v>
      </c>
      <c r="AR237" s="71">
        <f t="shared" si="43"/>
        <v>28</v>
      </c>
      <c r="AS237" s="71">
        <f t="shared" si="47"/>
        <v>22</v>
      </c>
      <c r="AT237" s="71">
        <f t="shared" si="48"/>
        <v>11</v>
      </c>
      <c r="AU237" s="71">
        <f t="shared" si="44"/>
        <v>11</v>
      </c>
      <c r="AV237" s="72">
        <f>IF(ROUND(V237/VLOOKUP($C237,CapRate,12),0)&gt;AV236,V237/VLOOKUP($C237,CapRate,12),AV236)</f>
        <v>31</v>
      </c>
      <c r="AW237" s="72">
        <f>IF(ROUND(W237/VLOOKUP($C237,CapRate,13),0)&gt;AW236,W237/VLOOKUP($C237,CapRate,13),AW236)</f>
        <v>26</v>
      </c>
      <c r="AX237" s="72">
        <f>IF(ROUND(X237/VLOOKUP($C237,CapRate,14),0)&gt;AX236,X237/VLOOKUP($C237,CapRate,14),AX236)</f>
        <v>28.618857901726422</v>
      </c>
      <c r="AY237" s="72">
        <f>IF(ROUND(Y237/VLOOKUP($C237,CapRate,15),0)&gt;AY236,Y237/VLOOKUP($C237,CapRate,15),AY236)</f>
        <v>28.894806924101196</v>
      </c>
      <c r="AZ237" s="72">
        <f>IF(ROUND(Z237/VLOOKUP($C237,CapRate,16),0)&gt;AZ236,Z237/VLOOKUP($C237,CapRate,16),AZ236)</f>
        <v>34.664005322687963</v>
      </c>
      <c r="BA237" s="72">
        <f>IF(ROUND(AA237/VLOOKUP($C237,CapRate,17),0)&gt;BA236,AA237/VLOOKUP($C237,CapRate,17),BA236)</f>
        <v>39.588859416445622</v>
      </c>
      <c r="BB237" s="72">
        <f>IF(ROUND(AB237/VLOOKUP($C237,CapRate,18),0)&gt;BB236,AB237/VLOOKUP($C237,CapRate,18),BB236)</f>
        <v>42.554599602911971</v>
      </c>
      <c r="BC237" s="72">
        <f>IF(ROUND(AC237/VLOOKUP($C237,CapRate,19),0)&gt;BC236,AC237/VLOOKUP($C237,CapRate,19),BC236)</f>
        <v>45.706737120211358</v>
      </c>
      <c r="BD237" s="72">
        <f>IF(ROUND(AD237/VLOOKUP($C237,CapRate,20),0)&gt;BD236,AD237/VLOOKUP($C237,CapRate,20),BD236)</f>
        <v>53.201320132013208</v>
      </c>
      <c r="BE237" s="72">
        <f>IF(ROUND(AE237/VLOOKUP($C237,CapRate,21),0)&gt;BE236,AE237/VLOOKUP($C237,CapRate,21),BE236)</f>
        <v>60.975609756097562</v>
      </c>
      <c r="BF237" s="72">
        <f>IF(ROUND(AF237/VLOOKUP($C237,CapRate,22),0)&gt;BF236,AF237/VLOOKUP($C237,CapRate,22),BF236)</f>
        <v>64.271588661832567</v>
      </c>
      <c r="BG237" s="72">
        <f>IF(ROUND(AG237/VLOOKUP($C237,CapRate,23),0)&gt;BG236,AG237/VLOOKUP($C237,CapRate,23),BG236)</f>
        <v>67.368421052631575</v>
      </c>
      <c r="BH237" s="72">
        <f>IF(ROUND(AH237/VLOOKUP($C237,CapRate,24),0)&gt;BH236,AH237/VLOOKUP($C237,CapRate,24),BH236)</f>
        <v>70.762155059132709</v>
      </c>
      <c r="BI237" s="72">
        <f>IF(ROUND(AI237/VLOOKUP($C237,CapRate,25),0)&gt;BI236,AI237/VLOOKUP($C237,CapRate,25),BI236)</f>
        <v>75.311884438608018</v>
      </c>
      <c r="BJ237" s="72">
        <f>IF(ROUND(AJ237/VLOOKUP($C237,CapRate,26),0)&gt;BJ236,AJ237/VLOOKUP($C237,CapRate,26),BJ236)</f>
        <v>76.771653543307082</v>
      </c>
      <c r="BK237" s="87">
        <f t="shared" si="46"/>
        <v>1.938298471191513E-2</v>
      </c>
      <c r="BL237" s="76"/>
      <c r="BM237" s="77"/>
      <c r="BN237" s="77"/>
      <c r="BO237" s="77"/>
      <c r="BP237" s="77">
        <f>BK237</f>
        <v>1.938298471191513E-2</v>
      </c>
    </row>
    <row r="238" spans="1:68" ht="15.9" customHeight="1">
      <c r="A238" s="8" t="s">
        <v>110</v>
      </c>
      <c r="B238" s="22"/>
      <c r="C238" s="23" t="s">
        <v>123</v>
      </c>
      <c r="D238" s="23"/>
      <c r="E238" s="8" t="s">
        <v>40</v>
      </c>
      <c r="F238" s="188">
        <f>[1]AcreSummary!J68</f>
        <v>0.56744327841604414</v>
      </c>
      <c r="G238" s="25"/>
      <c r="H238" s="117"/>
      <c r="I238" s="57">
        <f>[1]Dry!E68</f>
        <v>16.29</v>
      </c>
      <c r="J238" s="58">
        <f>[1]Dry!F68</f>
        <v>16.29</v>
      </c>
      <c r="K238" s="80">
        <f>[1]Dry!G68</f>
        <v>16.03</v>
      </c>
      <c r="L238" s="68">
        <f>[1]Dry!H68</f>
        <v>16.239999999999998</v>
      </c>
      <c r="M238" s="58">
        <f>[1]Dry!I68</f>
        <v>16.93</v>
      </c>
      <c r="N238" s="81">
        <f>[1]Dry!J68</f>
        <v>17.899999999999999</v>
      </c>
      <c r="O238" s="62">
        <v>17.899999999999999</v>
      </c>
      <c r="P238" s="81">
        <f>[1]Dry!K68</f>
        <v>19.43</v>
      </c>
      <c r="Q238" s="82">
        <f>[1]Dry!L68</f>
        <v>20.82</v>
      </c>
      <c r="R238" s="83">
        <f>Q238*0.95</f>
        <v>19.779</v>
      </c>
      <c r="S238" s="84">
        <f>[1]Dry!N68</f>
        <v>21.88</v>
      </c>
      <c r="T238" s="66">
        <f>[1]Dry!O68</f>
        <v>23.13</v>
      </c>
      <c r="U238" s="67">
        <f>[1]Dry!P68</f>
        <v>23.42</v>
      </c>
      <c r="V238" s="68">
        <f>[1]Dry!Q68</f>
        <v>10.08</v>
      </c>
      <c r="W238" s="68">
        <f>[1]Dry!R68</f>
        <v>10.78</v>
      </c>
      <c r="X238" s="68">
        <f>[1]Dry!S68</f>
        <v>11.57</v>
      </c>
      <c r="Y238" s="68">
        <f>[1]Dry!T68</f>
        <v>12.92</v>
      </c>
      <c r="Z238" s="68">
        <v>29.86</v>
      </c>
      <c r="AA238" s="68">
        <v>32.229999999999997</v>
      </c>
      <c r="AB238" s="68">
        <v>34.76</v>
      </c>
      <c r="AC238" s="68">
        <v>35.99</v>
      </c>
      <c r="AD238" s="68">
        <v>35.75</v>
      </c>
      <c r="AE238" s="68">
        <v>34.409999999999997</v>
      </c>
      <c r="AF238" s="68">
        <v>32.409999999999997</v>
      </c>
      <c r="AG238" s="69">
        <v>29.4</v>
      </c>
      <c r="AH238" s="70">
        <v>25.31</v>
      </c>
      <c r="AI238" s="70">
        <v>24.27</v>
      </c>
      <c r="AJ238" s="70">
        <v>20.64</v>
      </c>
      <c r="AK238" s="8">
        <f t="shared" si="31"/>
        <v>108</v>
      </c>
      <c r="AL238" s="8">
        <f t="shared" si="32"/>
        <v>106</v>
      </c>
      <c r="AM238" s="85">
        <f t="shared" si="33"/>
        <v>106</v>
      </c>
      <c r="AN238" s="23">
        <f t="shared" si="34"/>
        <v>112</v>
      </c>
      <c r="AO238" s="85">
        <f t="shared" si="41"/>
        <v>122</v>
      </c>
      <c r="AP238" s="72">
        <f t="shared" si="42"/>
        <v>133</v>
      </c>
      <c r="AQ238" s="71">
        <f t="shared" si="43"/>
        <v>140</v>
      </c>
      <c r="AR238" s="71">
        <f t="shared" si="43"/>
        <v>133</v>
      </c>
      <c r="AS238" s="71">
        <f t="shared" si="47"/>
        <v>147</v>
      </c>
      <c r="AT238" s="71">
        <f t="shared" si="48"/>
        <v>154</v>
      </c>
      <c r="AU238" s="71">
        <f t="shared" si="44"/>
        <v>156</v>
      </c>
      <c r="AV238" s="72">
        <f t="shared" si="45"/>
        <v>67</v>
      </c>
      <c r="AW238" s="72">
        <f>ROUND(W238/VLOOKUP($C238,CapRate,13),0)</f>
        <v>72</v>
      </c>
      <c r="AX238" s="72">
        <f>ROUND(X238/VLOOKUP($C238,CapRate,14),0)</f>
        <v>77</v>
      </c>
      <c r="AY238" s="72">
        <f>ROUND(Y238/VLOOKUP($C238,CapRate,15),0)</f>
        <v>86</v>
      </c>
      <c r="AZ238" s="72">
        <f>ROUND(Z238/VLOOKUP($C238,CapRate,16),0)</f>
        <v>199</v>
      </c>
      <c r="BA238" s="72">
        <f>ROUND(AA238/VLOOKUP($C238,CapRate,17),0)</f>
        <v>214</v>
      </c>
      <c r="BB238" s="72">
        <f>ROUND(AB238/VLOOKUP($C238,CapRate,18),0)</f>
        <v>230</v>
      </c>
      <c r="BC238" s="72">
        <f>ROUND(AC238/VLOOKUP($C238,CapRate,19),0)</f>
        <v>238</v>
      </c>
      <c r="BD238" s="72">
        <f>ROUND(AD238/VLOOKUP($C238,CapRate,20),0)</f>
        <v>236</v>
      </c>
      <c r="BE238" s="72">
        <f>ROUND(AE238/VLOOKUP($C238,CapRate,21),0)</f>
        <v>227</v>
      </c>
      <c r="BF238" s="72">
        <f>ROUND(AF238/VLOOKUP($C238,CapRate,22),0)</f>
        <v>214</v>
      </c>
      <c r="BG238" s="72">
        <f>ROUND(AG238/VLOOKUP($C238,CapRate,23),0)</f>
        <v>193</v>
      </c>
      <c r="BH238" s="72">
        <f>ROUND(AH238/VLOOKUP($C238,CapRate,24),0)</f>
        <v>166</v>
      </c>
      <c r="BI238" s="72">
        <f>ROUND(AI238/VLOOKUP($C238,CapRate,25),0)</f>
        <v>159</v>
      </c>
      <c r="BJ238" s="72">
        <f>ROUND(AJ238/VLOOKUP($C238,CapRate,26),0)</f>
        <v>135</v>
      </c>
      <c r="BK238" s="87">
        <f t="shared" si="46"/>
        <v>-0.15094339622641506</v>
      </c>
      <c r="BL238" s="76"/>
      <c r="BM238" s="77"/>
      <c r="BN238" s="77">
        <f>BK238</f>
        <v>-0.15094339622641506</v>
      </c>
      <c r="BO238" s="77"/>
      <c r="BP238" s="77"/>
    </row>
    <row r="239" spans="1:68" ht="15.9" customHeight="1" thickBot="1">
      <c r="A239" s="8" t="s">
        <v>110</v>
      </c>
      <c r="B239" s="22"/>
      <c r="C239" s="23" t="s">
        <v>123</v>
      </c>
      <c r="D239" s="91"/>
      <c r="E239" s="90" t="s">
        <v>41</v>
      </c>
      <c r="F239" s="190">
        <f>[1]AcreSummary!K68</f>
        <v>0.1739019877293014</v>
      </c>
      <c r="G239" s="191">
        <f>[1]Irrigated!D74</f>
        <v>100</v>
      </c>
      <c r="H239" s="94">
        <f>[1]Irrigated!E74</f>
        <v>1</v>
      </c>
      <c r="I239" s="95"/>
      <c r="J239" s="96">
        <f>[1]Irrigated!H74</f>
        <v>42.9</v>
      </c>
      <c r="K239" s="97">
        <f>[1]Irrigated!I74</f>
        <v>42.67</v>
      </c>
      <c r="L239" s="98">
        <f>[1]Irrigated!J74</f>
        <v>43.12</v>
      </c>
      <c r="M239" s="96">
        <f>[1]Irrigated!K74</f>
        <v>44.46</v>
      </c>
      <c r="N239" s="99">
        <f>[1]Irrigated!L74</f>
        <v>45.71</v>
      </c>
      <c r="O239" s="100">
        <v>46.34</v>
      </c>
      <c r="P239" s="99">
        <f>[1]Irrigated!M74</f>
        <v>45.55</v>
      </c>
      <c r="Q239" s="101">
        <f>[1]Irrigated!N74</f>
        <v>43.13</v>
      </c>
      <c r="R239" s="102">
        <v>43.13</v>
      </c>
      <c r="S239" s="103">
        <f>[1]Irrigated!O74</f>
        <v>41.07</v>
      </c>
      <c r="T239" s="104">
        <f>[1]Irrigated!P74</f>
        <v>39.090000000000003</v>
      </c>
      <c r="U239" s="105">
        <f>[1]Irrigated!Q74</f>
        <v>37.11</v>
      </c>
      <c r="V239" s="98">
        <f>[1]Irrigated!R74</f>
        <v>24.23</v>
      </c>
      <c r="W239" s="98">
        <f>[1]Irrigated!S74</f>
        <v>25.63</v>
      </c>
      <c r="X239" s="98">
        <v>27.26</v>
      </c>
      <c r="Y239" s="98">
        <v>32.04</v>
      </c>
      <c r="Z239" s="98">
        <v>38.76</v>
      </c>
      <c r="AA239" s="98">
        <v>46.98</v>
      </c>
      <c r="AB239" s="98">
        <v>57.26</v>
      </c>
      <c r="AC239" s="98">
        <v>66.05</v>
      </c>
      <c r="AD239" s="98">
        <v>70.08</v>
      </c>
      <c r="AE239" s="98">
        <v>72.23</v>
      </c>
      <c r="AF239" s="98">
        <v>73.91</v>
      </c>
      <c r="AG239" s="106">
        <v>73.8</v>
      </c>
      <c r="AH239" s="107">
        <v>67.150000000000006</v>
      </c>
      <c r="AI239" s="107">
        <v>72.430000000000007</v>
      </c>
      <c r="AJ239" s="107">
        <v>61.89</v>
      </c>
      <c r="AK239" s="90">
        <f t="shared" ref="AK239:AK329" si="49">ROUND(J239/VLOOKUP($C239,CapRate,2),0)</f>
        <v>284</v>
      </c>
      <c r="AL239" s="90">
        <f t="shared" ref="AL239:AL329" si="50">ROUND(K239/VLOOKUP($C239,CapRate,3),0)</f>
        <v>282</v>
      </c>
      <c r="AM239" s="108">
        <f t="shared" ref="AM239:AM329" si="51">ROUND(L239/VLOOKUP($C239,CapRate,4),0)</f>
        <v>281</v>
      </c>
      <c r="AN239" s="91">
        <f t="shared" ref="AN239:AN329" si="52">ROUND(M239/VLOOKUP($C239,CapRate,5),0)</f>
        <v>293</v>
      </c>
      <c r="AO239" s="108">
        <f t="shared" si="41"/>
        <v>315</v>
      </c>
      <c r="AP239" s="109">
        <f t="shared" si="42"/>
        <v>311</v>
      </c>
      <c r="AQ239" s="110">
        <f t="shared" si="43"/>
        <v>291</v>
      </c>
      <c r="AR239" s="110">
        <f t="shared" si="43"/>
        <v>291</v>
      </c>
      <c r="AS239" s="110">
        <f t="shared" si="47"/>
        <v>275</v>
      </c>
      <c r="AT239" s="110">
        <f t="shared" si="48"/>
        <v>261</v>
      </c>
      <c r="AU239" s="110">
        <f t="shared" si="44"/>
        <v>246</v>
      </c>
      <c r="AV239" s="109">
        <f t="shared" si="45"/>
        <v>161</v>
      </c>
      <c r="AW239" s="109">
        <f>ROUND(W239/VLOOKUP($C239,CapRate,13),0)</f>
        <v>170</v>
      </c>
      <c r="AX239" s="109">
        <f>ROUND(X239/VLOOKUP($C239,CapRate,14),0)</f>
        <v>181</v>
      </c>
      <c r="AY239" s="109">
        <f>ROUND(Y239/VLOOKUP($C239,CapRate,15),0)</f>
        <v>213</v>
      </c>
      <c r="AZ239" s="109">
        <f>ROUND(Z239/VLOOKUP($C239,CapRate,16),0)</f>
        <v>258</v>
      </c>
      <c r="BA239" s="109">
        <f>ROUND(AA239/VLOOKUP($C239,CapRate,17),0)</f>
        <v>312</v>
      </c>
      <c r="BB239" s="109">
        <f>ROUND(AB239/VLOOKUP($C239,CapRate,18),0)</f>
        <v>379</v>
      </c>
      <c r="BC239" s="109">
        <f>ROUND(AC239/VLOOKUP($C239,CapRate,19),0)</f>
        <v>436</v>
      </c>
      <c r="BD239" s="109">
        <f>ROUND(AD239/VLOOKUP($C239,CapRate,20),0)</f>
        <v>463</v>
      </c>
      <c r="BE239" s="109">
        <f>ROUND(AE239/VLOOKUP($C239,CapRate,21),0)</f>
        <v>476</v>
      </c>
      <c r="BF239" s="109">
        <f>ROUND(AF239/VLOOKUP($C239,CapRate,22),0)</f>
        <v>487</v>
      </c>
      <c r="BG239" s="109">
        <f>ROUND(AG239/VLOOKUP($C239,CapRate,23),0)</f>
        <v>486</v>
      </c>
      <c r="BH239" s="109">
        <f>ROUND(AH239/VLOOKUP($C239,CapRate,24),0)</f>
        <v>441</v>
      </c>
      <c r="BI239" s="109">
        <f>ROUND(AI239/VLOOKUP($C239,CapRate,25),0)</f>
        <v>476</v>
      </c>
      <c r="BJ239" s="109">
        <f>ROUND(AJ239/VLOOKUP($C239,CapRate,26),0)</f>
        <v>406</v>
      </c>
      <c r="BK239" s="193">
        <f t="shared" si="46"/>
        <v>-0.1470588235294118</v>
      </c>
      <c r="BL239" s="114">
        <f>((F236*BK236)+(F237*BK237)+(F238*BK238)+(F239*BK239))</f>
        <v>-0.10621213658289694</v>
      </c>
      <c r="BM239" s="120"/>
      <c r="BN239" s="115"/>
      <c r="BO239" s="115">
        <f>BK239</f>
        <v>-0.1470588235294118</v>
      </c>
      <c r="BP239" s="115"/>
    </row>
    <row r="240" spans="1:68" ht="15.9" customHeight="1" thickTop="1">
      <c r="A240" s="8" t="s">
        <v>110</v>
      </c>
      <c r="B240" s="22"/>
      <c r="C240" s="8" t="s">
        <v>124</v>
      </c>
      <c r="D240" s="23" t="s">
        <v>124</v>
      </c>
      <c r="E240" s="8" t="s">
        <v>39</v>
      </c>
      <c r="F240" s="188">
        <f>[1]AcreSummary!M69</f>
        <v>0.2097703970649184</v>
      </c>
      <c r="G240" s="25"/>
      <c r="H240" s="117"/>
      <c r="I240" s="57">
        <f>[1]Native!E67</f>
        <v>8.64</v>
      </c>
      <c r="J240" s="58">
        <f>[1]Native!F67</f>
        <v>8.0079999999999991</v>
      </c>
      <c r="K240" s="80">
        <f>[1]Native!G67</f>
        <v>7.92</v>
      </c>
      <c r="L240" s="68">
        <f>[1]Native!H67</f>
        <v>8.0830000000000002</v>
      </c>
      <c r="M240" s="58">
        <f>[1]Native!I67</f>
        <v>8.3800000000000008</v>
      </c>
      <c r="N240" s="81">
        <f>[1]Native!J67</f>
        <v>8.5</v>
      </c>
      <c r="O240" s="62">
        <v>8.42</v>
      </c>
      <c r="P240" s="81">
        <f>[1]Native!K67</f>
        <v>8.57</v>
      </c>
      <c r="Q240" s="82">
        <f>[1]Native!L67</f>
        <v>8.64</v>
      </c>
      <c r="R240" s="83">
        <v>8.64</v>
      </c>
      <c r="S240" s="84">
        <f>[1]Native!M67</f>
        <v>8.86</v>
      </c>
      <c r="T240" s="66">
        <f>[1]Native!N67</f>
        <v>9.02</v>
      </c>
      <c r="U240" s="67">
        <f>[1]Native!O67</f>
        <v>9.39</v>
      </c>
      <c r="V240" s="68">
        <f>[1]Native!P67</f>
        <v>6.14</v>
      </c>
      <c r="W240" s="68">
        <f>[1]Native!Q67</f>
        <v>4.8600000000000003</v>
      </c>
      <c r="X240" s="68">
        <v>4.24</v>
      </c>
      <c r="Y240" s="68">
        <v>3.68</v>
      </c>
      <c r="Z240" s="68">
        <v>3.93</v>
      </c>
      <c r="AA240" s="68">
        <v>4.08</v>
      </c>
      <c r="AB240" s="68">
        <v>4.33</v>
      </c>
      <c r="AC240" s="68">
        <v>4.75</v>
      </c>
      <c r="AD240" s="68">
        <v>5.8</v>
      </c>
      <c r="AE240" s="68">
        <v>6.91</v>
      </c>
      <c r="AF240" s="68">
        <v>7.59</v>
      </c>
      <c r="AG240" s="69">
        <v>8.0399999999999991</v>
      </c>
      <c r="AH240" s="70">
        <v>8.51</v>
      </c>
      <c r="AI240" s="70">
        <v>9.18</v>
      </c>
      <c r="AJ240" s="70">
        <v>9.43</v>
      </c>
      <c r="AK240" s="8">
        <f t="shared" si="49"/>
        <v>51</v>
      </c>
      <c r="AL240" s="8">
        <f t="shared" si="50"/>
        <v>51</v>
      </c>
      <c r="AM240" s="85">
        <f t="shared" si="51"/>
        <v>51</v>
      </c>
      <c r="AN240" s="23">
        <f t="shared" si="52"/>
        <v>54</v>
      </c>
      <c r="AO240" s="85">
        <f t="shared" si="41"/>
        <v>57</v>
      </c>
      <c r="AP240" s="72">
        <f t="shared" si="42"/>
        <v>58</v>
      </c>
      <c r="AQ240" s="71">
        <f t="shared" si="43"/>
        <v>59</v>
      </c>
      <c r="AR240" s="71">
        <f t="shared" si="43"/>
        <v>59</v>
      </c>
      <c r="AS240" s="71">
        <f t="shared" si="47"/>
        <v>60</v>
      </c>
      <c r="AT240" s="71">
        <f t="shared" si="48"/>
        <v>61</v>
      </c>
      <c r="AU240" s="71">
        <f t="shared" si="44"/>
        <v>63</v>
      </c>
      <c r="AV240" s="72">
        <f t="shared" si="45"/>
        <v>40</v>
      </c>
      <c r="AW240" s="72">
        <f>ROUND(W240/VLOOKUP($C240,CapRate,13),0)</f>
        <v>32</v>
      </c>
      <c r="AX240" s="122">
        <f>IF(ROUND(X240/VLOOKUP($C240,CapRate,14),0)&gt;10,X240/VLOOKUP($C240,CapRate,14),10)</f>
        <v>27.604166666666671</v>
      </c>
      <c r="AY240" s="122">
        <f>IF(ROUND(Y240/VLOOKUP($C240,CapRate,15),0)&gt;10,Y240/VLOOKUP($C240,CapRate,15),10)</f>
        <v>23.911630929174787</v>
      </c>
      <c r="AZ240" s="122">
        <f>IF(ROUND(Z240/VLOOKUP($C240,CapRate,16),0)&gt;10,Z240/VLOOKUP($C240,CapRate,16),10)</f>
        <v>25.56929082628497</v>
      </c>
      <c r="BA240" s="122">
        <f>IF(ROUND(AA240/VLOOKUP($C240,CapRate,17),0)&gt;10,AA240/VLOOKUP($C240,CapRate,17),10)</f>
        <v>26.562500000000004</v>
      </c>
      <c r="BB240" s="122">
        <f>IF(ROUND(AB240/VLOOKUP($C240,CapRate,18),0)&gt;10,AB240/VLOOKUP($C240,CapRate,18),10)</f>
        <v>28.190104166666668</v>
      </c>
      <c r="BC240" s="122">
        <f>IF(ROUND(AC240/VLOOKUP($C240,CapRate,19),0)&gt;10,AC240/VLOOKUP($C240,CapRate,19),10)</f>
        <v>30.944625407166125</v>
      </c>
      <c r="BD240" s="122">
        <f>IF(ROUND(AD240/VLOOKUP($C240,CapRate,20),0)&gt;10,AD240/VLOOKUP($C240,CapRate,20),10)</f>
        <v>37.859007832898172</v>
      </c>
      <c r="BE240" s="122">
        <f>IF(ROUND(AE240/VLOOKUP($C240,CapRate,21),0)&gt;10,AE240/VLOOKUP($C240,CapRate,21),10)</f>
        <v>45.25212835625409</v>
      </c>
      <c r="BF240" s="122">
        <f>IF(ROUND(AF240/VLOOKUP($C240,CapRate,22),0)&gt;10,AF240/VLOOKUP($C240,CapRate,22),10)</f>
        <v>49.934210526315788</v>
      </c>
      <c r="BG240" s="122">
        <f>IF(ROUND(AG240/VLOOKUP($C240,CapRate,23),0)&gt;10,AG240/VLOOKUP($C240,CapRate,23),10)</f>
        <v>52.859960552268234</v>
      </c>
      <c r="BH240" s="122">
        <f>IF(ROUND(AH240/VLOOKUP($C240,CapRate,24),0)&gt;10,AH240/VLOOKUP($C240,CapRate,24),10)</f>
        <v>55.913272010512479</v>
      </c>
      <c r="BI240" s="122">
        <f>IF(ROUND(AI240/VLOOKUP($C240,CapRate,25),0)&gt;10,AI240/VLOOKUP($C240,CapRate,25),10)</f>
        <v>60.157273918741801</v>
      </c>
      <c r="BJ240" s="122">
        <f>IF(ROUND(AJ240/VLOOKUP($C240,CapRate,26),0)&gt;10,AJ240/VLOOKUP($C240,CapRate,26),10)</f>
        <v>61.79554390563564</v>
      </c>
      <c r="BK240" s="75">
        <f t="shared" si="46"/>
        <v>2.7233115468409563E-2</v>
      </c>
      <c r="BL240" s="217"/>
      <c r="BM240" s="77">
        <f>BK240</f>
        <v>2.7233115468409563E-2</v>
      </c>
      <c r="BN240" s="77"/>
      <c r="BO240" s="77"/>
      <c r="BP240" s="77"/>
    </row>
    <row r="241" spans="1:69" ht="15.9" customHeight="1">
      <c r="A241" s="8"/>
      <c r="B241" s="22"/>
      <c r="C241" s="8" t="s">
        <v>124</v>
      </c>
      <c r="D241" s="23"/>
      <c r="E241" s="8" t="s">
        <v>85</v>
      </c>
      <c r="F241" s="188">
        <f>[1]AcreSummary!L69</f>
        <v>2.2646668619586714E-2</v>
      </c>
      <c r="G241" s="25"/>
      <c r="H241" s="117"/>
      <c r="I241" s="57"/>
      <c r="J241" s="58">
        <f>[1]Tame!D36</f>
        <v>10.593999999999999</v>
      </c>
      <c r="K241" s="80">
        <f>[1]Tame!E36</f>
        <v>10.176</v>
      </c>
      <c r="L241" s="68">
        <f>[1]Tame!F36</f>
        <v>9.8290000000000006</v>
      </c>
      <c r="M241" s="58">
        <f>[1]Tame!G36</f>
        <v>9.7799999999999994</v>
      </c>
      <c r="N241" s="81">
        <f>[1]Tame!H36</f>
        <v>9.49</v>
      </c>
      <c r="O241" s="62">
        <v>9.39</v>
      </c>
      <c r="P241" s="81">
        <f>[1]Tame!I36</f>
        <v>9.09</v>
      </c>
      <c r="Q241" s="82">
        <f>[1]Tame!J36</f>
        <v>8.9600000000000009</v>
      </c>
      <c r="R241" s="83">
        <v>8.9600000000000009</v>
      </c>
      <c r="S241" s="84">
        <f>[1]Tame!K36</f>
        <v>8.49</v>
      </c>
      <c r="T241" s="66">
        <f>[1]Tame!L36</f>
        <v>7.8</v>
      </c>
      <c r="U241" s="67">
        <f>[1]Tame!M36</f>
        <v>8</v>
      </c>
      <c r="V241" s="68">
        <f>[1]Tame!N36</f>
        <v>3.13</v>
      </c>
      <c r="W241" s="68">
        <f>[1]Tame!O36</f>
        <v>0.7</v>
      </c>
      <c r="X241" s="68">
        <v>-0.17</v>
      </c>
      <c r="Y241" s="68">
        <v>-0.98</v>
      </c>
      <c r="Z241" s="68">
        <v>-1.03</v>
      </c>
      <c r="AA241" s="68">
        <v>0.52</v>
      </c>
      <c r="AB241" s="68">
        <v>1.99</v>
      </c>
      <c r="AC241" s="68">
        <v>3.8</v>
      </c>
      <c r="AD241" s="68">
        <v>7.46</v>
      </c>
      <c r="AE241" s="68">
        <v>10.9</v>
      </c>
      <c r="AF241" s="68">
        <v>12.62</v>
      </c>
      <c r="AG241" s="69">
        <v>14.37</v>
      </c>
      <c r="AH241" s="70">
        <v>16.2</v>
      </c>
      <c r="AI241" s="70">
        <v>16.489999999999998</v>
      </c>
      <c r="AJ241" s="70">
        <v>16.71</v>
      </c>
      <c r="AK241" s="8">
        <f>ROUND(J241/VLOOKUP($C241,CapRate,2),0)</f>
        <v>68</v>
      </c>
      <c r="AL241" s="8">
        <f>ROUND(K241/VLOOKUP($C241,CapRate,3),0)</f>
        <v>65</v>
      </c>
      <c r="AM241" s="85">
        <f>ROUND(L241/VLOOKUP($C241,CapRate,4),0)</f>
        <v>62</v>
      </c>
      <c r="AN241" s="23">
        <f>ROUND(M241/VLOOKUP($C241,CapRate,5),0)</f>
        <v>63</v>
      </c>
      <c r="AO241" s="85">
        <f t="shared" si="41"/>
        <v>63</v>
      </c>
      <c r="AP241" s="72">
        <f t="shared" si="42"/>
        <v>62</v>
      </c>
      <c r="AQ241" s="71">
        <f t="shared" si="43"/>
        <v>61</v>
      </c>
      <c r="AR241" s="71">
        <f t="shared" si="43"/>
        <v>61</v>
      </c>
      <c r="AS241" s="71">
        <f t="shared" si="47"/>
        <v>58</v>
      </c>
      <c r="AT241" s="71">
        <f t="shared" si="48"/>
        <v>53</v>
      </c>
      <c r="AU241" s="71">
        <f t="shared" si="44"/>
        <v>54</v>
      </c>
      <c r="AV241" s="72">
        <f>IF(ROUND(V241/VLOOKUP($C241,CapRate,12),0)&gt;AV240,V241/VLOOKUP($C241,CapRate,12),AV240)</f>
        <v>40</v>
      </c>
      <c r="AW241" s="72">
        <f>IF(ROUND(W241/VLOOKUP($C241,CapRate,13),0)&gt;AW240,W241/VLOOKUP($C241,CapRate,13),AW240)</f>
        <v>32</v>
      </c>
      <c r="AX241" s="72">
        <f>IF(ROUND(X241/VLOOKUP($C241,CapRate,14),0)&gt;AX240,X241/VLOOKUP($C241,CapRate,14),AX240)</f>
        <v>27.604166666666671</v>
      </c>
      <c r="AY241" s="72">
        <f>IF(ROUND(Y241/VLOOKUP($C241,CapRate,15),0)&gt;AY240,Y241/VLOOKUP($C241,CapRate,15),AY240)</f>
        <v>23.911630929174787</v>
      </c>
      <c r="AZ241" s="72">
        <f>IF(ROUND(Z241/VLOOKUP($C241,CapRate,16),0)&gt;AZ240,Z241/VLOOKUP($C241,CapRate,16),AZ240)</f>
        <v>25.56929082628497</v>
      </c>
      <c r="BA241" s="72">
        <f>IF(ROUND(AA241/VLOOKUP($C241,CapRate,17),0)&gt;BA240,AA241/VLOOKUP($C241,CapRate,17),BA240)</f>
        <v>26.562500000000004</v>
      </c>
      <c r="BB241" s="72">
        <f>IF(ROUND(AB241/VLOOKUP($C241,CapRate,18),0)&gt;BB240,AB241/VLOOKUP($C241,CapRate,18),BB240)</f>
        <v>28.190104166666668</v>
      </c>
      <c r="BC241" s="72">
        <f>IF(ROUND(AC241/VLOOKUP($C241,CapRate,19),0)&gt;BC240,AC241/VLOOKUP($C241,CapRate,19),BC240)</f>
        <v>30.944625407166125</v>
      </c>
      <c r="BD241" s="72">
        <f>IF(ROUND(AD241/VLOOKUP($C241,CapRate,20),0)&gt;BD240,AD241/VLOOKUP($C241,CapRate,20),BD240)</f>
        <v>48.69451697127937</v>
      </c>
      <c r="BE241" s="72">
        <f>IF(ROUND(AE241/VLOOKUP($C241,CapRate,21),0)&gt;BE240,AE241/VLOOKUP($C241,CapRate,21),BE240)</f>
        <v>71.381794368041909</v>
      </c>
      <c r="BF241" s="72">
        <f>IF(ROUND(AF241/VLOOKUP($C241,CapRate,22),0)&gt;BF240,AF241/VLOOKUP($C241,CapRate,22),BF240)</f>
        <v>83.026315789473685</v>
      </c>
      <c r="BG241" s="72">
        <f>IF(ROUND(AG241/VLOOKUP($C241,CapRate,23),0)&gt;BG240,AG241/VLOOKUP($C241,CapRate,23),BG240)</f>
        <v>94.477317554240614</v>
      </c>
      <c r="BH241" s="72">
        <f>IF(ROUND(AH241/VLOOKUP($C241,CapRate,24),0)&gt;BH240,AH241/VLOOKUP($C241,CapRate,24),BH240)</f>
        <v>106.43889618922469</v>
      </c>
      <c r="BI241" s="72">
        <f>IF(ROUND(AI241/VLOOKUP($C241,CapRate,25),0)&gt;BI240,AI241/VLOOKUP($C241,CapRate,25),BI240)</f>
        <v>108.06028833551767</v>
      </c>
      <c r="BJ241" s="72">
        <f>IF(ROUND(AJ241/VLOOKUP($C241,CapRate,26),0)&gt;BJ240,AJ241/VLOOKUP($C241,CapRate,26),BJ240)</f>
        <v>109.50196592398427</v>
      </c>
      <c r="BK241" s="87">
        <f t="shared" si="46"/>
        <v>1.3341419041843716E-2</v>
      </c>
      <c r="BL241" s="76"/>
      <c r="BM241" s="77"/>
      <c r="BN241" s="77"/>
      <c r="BO241" s="77"/>
      <c r="BP241" s="77">
        <f>BK241</f>
        <v>1.3341419041843716E-2</v>
      </c>
    </row>
    <row r="242" spans="1:69" ht="15.9" customHeight="1">
      <c r="A242" s="8" t="s">
        <v>110</v>
      </c>
      <c r="B242" s="22"/>
      <c r="C242" s="8" t="s">
        <v>124</v>
      </c>
      <c r="D242" s="23"/>
      <c r="E242" s="8" t="s">
        <v>40</v>
      </c>
      <c r="F242" s="188">
        <f>[1]AcreSummary!J69</f>
        <v>0.74724770228808812</v>
      </c>
      <c r="G242" s="25"/>
      <c r="H242" s="117"/>
      <c r="I242" s="57">
        <f>[1]Dry!E69</f>
        <v>19.48</v>
      </c>
      <c r="J242" s="58">
        <f>[1]Dry!F69</f>
        <v>18.309999999999999</v>
      </c>
      <c r="K242" s="80">
        <f>[1]Dry!G69</f>
        <v>17.87</v>
      </c>
      <c r="L242" s="68">
        <f>[1]Dry!H69</f>
        <v>17.75</v>
      </c>
      <c r="M242" s="58">
        <f>[1]Dry!I69</f>
        <v>18.03</v>
      </c>
      <c r="N242" s="81">
        <f>[1]Dry!J69</f>
        <v>18.45</v>
      </c>
      <c r="O242" s="62">
        <v>18.440000000000001</v>
      </c>
      <c r="P242" s="81">
        <f>[1]Dry!K69</f>
        <v>19.3</v>
      </c>
      <c r="Q242" s="82">
        <f>[1]Dry!L69</f>
        <v>20.16</v>
      </c>
      <c r="R242" s="83">
        <f>Q242*0.95</f>
        <v>19.151999999999997</v>
      </c>
      <c r="S242" s="84">
        <f>[1]Dry!N69</f>
        <v>20.52</v>
      </c>
      <c r="T242" s="66">
        <f>[1]Dry!O69</f>
        <v>20.78</v>
      </c>
      <c r="U242" s="67">
        <f>[1]Dry!P69</f>
        <v>22.19</v>
      </c>
      <c r="V242" s="68">
        <f>[1]Dry!Q69</f>
        <v>8.92</v>
      </c>
      <c r="W242" s="68">
        <f>[1]Dry!R69</f>
        <v>9.64</v>
      </c>
      <c r="X242" s="68">
        <f>[1]Dry!S69</f>
        <v>10.27</v>
      </c>
      <c r="Y242" s="68">
        <f>[1]Dry!T69</f>
        <v>11.26</v>
      </c>
      <c r="Z242" s="68">
        <v>12.8</v>
      </c>
      <c r="AA242" s="68">
        <v>28.56</v>
      </c>
      <c r="AB242" s="68">
        <v>30.99</v>
      </c>
      <c r="AC242" s="68">
        <v>32.58</v>
      </c>
      <c r="AD242" s="68">
        <v>32.65</v>
      </c>
      <c r="AE242" s="68">
        <v>31.83</v>
      </c>
      <c r="AF242" s="68">
        <v>31.31</v>
      </c>
      <c r="AG242" s="69">
        <v>29.9</v>
      </c>
      <c r="AH242" s="70">
        <v>25.88</v>
      </c>
      <c r="AI242" s="70">
        <v>20.190000000000001</v>
      </c>
      <c r="AJ242" s="70">
        <v>16.8</v>
      </c>
      <c r="AK242" s="8">
        <f t="shared" si="49"/>
        <v>117</v>
      </c>
      <c r="AL242" s="8">
        <f t="shared" si="50"/>
        <v>115</v>
      </c>
      <c r="AM242" s="85">
        <f t="shared" si="51"/>
        <v>112</v>
      </c>
      <c r="AN242" s="23">
        <f t="shared" si="52"/>
        <v>117</v>
      </c>
      <c r="AO242" s="85">
        <f t="shared" si="41"/>
        <v>124</v>
      </c>
      <c r="AP242" s="72">
        <f t="shared" si="42"/>
        <v>131</v>
      </c>
      <c r="AQ242" s="71">
        <f t="shared" si="43"/>
        <v>137</v>
      </c>
      <c r="AR242" s="71">
        <f t="shared" si="43"/>
        <v>130</v>
      </c>
      <c r="AS242" s="71">
        <f t="shared" si="47"/>
        <v>139</v>
      </c>
      <c r="AT242" s="71">
        <f t="shared" si="48"/>
        <v>141</v>
      </c>
      <c r="AU242" s="71">
        <f t="shared" si="44"/>
        <v>150</v>
      </c>
      <c r="AV242" s="72">
        <f t="shared" si="45"/>
        <v>59</v>
      </c>
      <c r="AW242" s="72">
        <f>ROUND(W242/VLOOKUP($C242,CapRate,13),0)</f>
        <v>63</v>
      </c>
      <c r="AX242" s="72">
        <f>ROUND(X242/VLOOKUP($C242,CapRate,14),0)</f>
        <v>67</v>
      </c>
      <c r="AY242" s="72">
        <f>ROUND(Y242/VLOOKUP($C242,CapRate,15),0)</f>
        <v>73</v>
      </c>
      <c r="AZ242" s="72">
        <f>ROUND(Z242/VLOOKUP($C242,CapRate,16),0)</f>
        <v>83</v>
      </c>
      <c r="BA242" s="72">
        <f>ROUND(AA242/VLOOKUP($C242,CapRate,17),0)</f>
        <v>186</v>
      </c>
      <c r="BB242" s="72">
        <f>ROUND(AB242/VLOOKUP($C242,CapRate,18),0)</f>
        <v>202</v>
      </c>
      <c r="BC242" s="72">
        <f>ROUND(AC242/VLOOKUP($C242,CapRate,19),0)</f>
        <v>212</v>
      </c>
      <c r="BD242" s="72">
        <f>ROUND(AD242/VLOOKUP($C242,CapRate,20),0)</f>
        <v>213</v>
      </c>
      <c r="BE242" s="72">
        <f>ROUND(AE242/VLOOKUP($C242,CapRate,21),0)</f>
        <v>208</v>
      </c>
      <c r="BF242" s="72">
        <f>ROUND(AF242/VLOOKUP($C242,CapRate,22),0)</f>
        <v>206</v>
      </c>
      <c r="BG242" s="72">
        <f>ROUND(AG242/VLOOKUP($C242,CapRate,23),0)</f>
        <v>197</v>
      </c>
      <c r="BH242" s="72">
        <f>ROUND(AH242/VLOOKUP($C242,CapRate,24),0)</f>
        <v>170</v>
      </c>
      <c r="BI242" s="72">
        <f>ROUND(AI242/VLOOKUP($C242,CapRate,25),0)</f>
        <v>132</v>
      </c>
      <c r="BJ242" s="72">
        <f>ROUND(AJ242/VLOOKUP($C242,CapRate,26),0)</f>
        <v>110</v>
      </c>
      <c r="BK242" s="87">
        <f t="shared" si="46"/>
        <v>-0.16666666666666663</v>
      </c>
      <c r="BL242" s="76"/>
      <c r="BM242" s="77"/>
      <c r="BN242" s="77">
        <f>BK242</f>
        <v>-0.16666666666666663</v>
      </c>
      <c r="BO242" s="77"/>
      <c r="BP242" s="77"/>
    </row>
    <row r="243" spans="1:69" ht="15.9" customHeight="1" thickBot="1">
      <c r="A243" s="8" t="s">
        <v>110</v>
      </c>
      <c r="B243" s="194"/>
      <c r="C243" s="90" t="s">
        <v>124</v>
      </c>
      <c r="D243" s="195"/>
      <c r="E243" s="132" t="s">
        <v>41</v>
      </c>
      <c r="F243" s="196">
        <f>[1]AcreSummary!K69</f>
        <v>2.0335232027406697E-2</v>
      </c>
      <c r="G243" s="197">
        <f>[1]Irrigated!D75</f>
        <v>100</v>
      </c>
      <c r="H243" s="135">
        <f>[1]Irrigated!E75</f>
        <v>1</v>
      </c>
      <c r="I243" s="136"/>
      <c r="J243" s="137">
        <f>[1]Irrigated!H75</f>
        <v>50.53</v>
      </c>
      <c r="K243" s="138">
        <f>[1]Irrigated!I75</f>
        <v>51.75</v>
      </c>
      <c r="L243" s="139">
        <f>[1]Irrigated!J75</f>
        <v>53.04</v>
      </c>
      <c r="M243" s="137">
        <f>[1]Irrigated!K75</f>
        <v>55.24</v>
      </c>
      <c r="N243" s="140">
        <f>[1]Irrigated!L75</f>
        <v>57.26</v>
      </c>
      <c r="O243" s="141">
        <v>53.21</v>
      </c>
      <c r="P243" s="140">
        <f>[1]Irrigated!M75</f>
        <v>57.83</v>
      </c>
      <c r="Q243" s="142">
        <f>[1]Irrigated!N75</f>
        <v>56.24</v>
      </c>
      <c r="R243" s="143">
        <v>56.24</v>
      </c>
      <c r="S243" s="144">
        <f>[1]Irrigated!O75</f>
        <v>54.99</v>
      </c>
      <c r="T243" s="145">
        <f>[1]Irrigated!P75</f>
        <v>53.82</v>
      </c>
      <c r="U243" s="146">
        <f>[1]Irrigated!Q75</f>
        <v>50.14</v>
      </c>
      <c r="V243" s="139">
        <f>[1]Irrigated!R75</f>
        <v>38.92</v>
      </c>
      <c r="W243" s="139">
        <f>[1]Irrigated!S75</f>
        <v>41.01</v>
      </c>
      <c r="X243" s="139">
        <v>43.58</v>
      </c>
      <c r="Y243" s="139">
        <v>48.69</v>
      </c>
      <c r="Z243" s="139">
        <v>55.99</v>
      </c>
      <c r="AA243" s="139">
        <v>61.72</v>
      </c>
      <c r="AB243" s="139">
        <v>72.37</v>
      </c>
      <c r="AC243" s="139">
        <v>82.1</v>
      </c>
      <c r="AD243" s="139">
        <v>86.29</v>
      </c>
      <c r="AE243" s="139">
        <v>88.54</v>
      </c>
      <c r="AF243" s="139">
        <v>90.14</v>
      </c>
      <c r="AG243" s="147">
        <v>90.18</v>
      </c>
      <c r="AH243" s="149">
        <v>83.34</v>
      </c>
      <c r="AI243" s="149">
        <v>73.69</v>
      </c>
      <c r="AJ243" s="70">
        <v>63.12</v>
      </c>
      <c r="AK243" s="90">
        <f t="shared" si="49"/>
        <v>323</v>
      </c>
      <c r="AL243" s="90">
        <f t="shared" si="50"/>
        <v>332</v>
      </c>
      <c r="AM243" s="108">
        <f t="shared" si="51"/>
        <v>336</v>
      </c>
      <c r="AN243" s="91">
        <f t="shared" si="52"/>
        <v>357</v>
      </c>
      <c r="AO243" s="108">
        <f t="shared" si="41"/>
        <v>358</v>
      </c>
      <c r="AP243" s="109">
        <f t="shared" si="42"/>
        <v>393</v>
      </c>
      <c r="AQ243" s="110">
        <f t="shared" si="43"/>
        <v>382</v>
      </c>
      <c r="AR243" s="110">
        <f t="shared" si="43"/>
        <v>382</v>
      </c>
      <c r="AS243" s="110">
        <f t="shared" si="47"/>
        <v>373</v>
      </c>
      <c r="AT243" s="110">
        <f t="shared" si="48"/>
        <v>364</v>
      </c>
      <c r="AU243" s="110">
        <f t="shared" si="44"/>
        <v>338</v>
      </c>
      <c r="AV243" s="109">
        <f t="shared" si="45"/>
        <v>255</v>
      </c>
      <c r="AW243" s="109">
        <f>ROUND(W243/VLOOKUP($C243,CapRate,13),0)</f>
        <v>268</v>
      </c>
      <c r="AX243" s="109">
        <f>ROUND(X243/VLOOKUP($C243,CapRate,14),0)</f>
        <v>284</v>
      </c>
      <c r="AY243" s="109">
        <f>ROUND(Y243/VLOOKUP($C243,CapRate,15),0)</f>
        <v>316</v>
      </c>
      <c r="AZ243" s="109">
        <f>ROUND(Z243/VLOOKUP($C243,CapRate,16),0)</f>
        <v>364</v>
      </c>
      <c r="BA243" s="109">
        <f>ROUND(AA243/VLOOKUP($C243,CapRate,17),0)</f>
        <v>402</v>
      </c>
      <c r="BB243" s="109">
        <f>ROUND(AB243/VLOOKUP($C243,CapRate,18),0)</f>
        <v>471</v>
      </c>
      <c r="BC243" s="109">
        <f>ROUND(AC243/VLOOKUP($C243,CapRate,19),0)</f>
        <v>535</v>
      </c>
      <c r="BD243" s="109">
        <f>ROUND(AD243/VLOOKUP($C243,CapRate,20),0)</f>
        <v>563</v>
      </c>
      <c r="BE243" s="199">
        <f>ROUND(AE243/VLOOKUP($C243,CapRate,21),0)</f>
        <v>580</v>
      </c>
      <c r="BF243" s="199">
        <f>ROUND(AF243/VLOOKUP($C243,CapRate,22),0)</f>
        <v>593</v>
      </c>
      <c r="BG243" s="199">
        <f>ROUND(AG243/VLOOKUP($C243,CapRate,23),0)</f>
        <v>593</v>
      </c>
      <c r="BH243" s="199">
        <f>ROUND(AH243/VLOOKUP($C243,CapRate,24),0)</f>
        <v>548</v>
      </c>
      <c r="BI243" s="199">
        <f>ROUND(AI243/VLOOKUP($C243,CapRate,25),0)</f>
        <v>483</v>
      </c>
      <c r="BJ243" s="199">
        <f>ROUND(AJ243/VLOOKUP($C243,CapRate,26),0)</f>
        <v>414</v>
      </c>
      <c r="BK243" s="193">
        <f t="shared" si="46"/>
        <v>-0.1428571428571429</v>
      </c>
      <c r="BL243" s="200">
        <f>((F240*BK240)+(F241*BK241)+(F242*BK242)+(F243*BK243))</f>
        <v>-0.12143147672037499</v>
      </c>
      <c r="BM243" s="218"/>
      <c r="BN243" s="77"/>
      <c r="BO243" s="77">
        <f>BK243</f>
        <v>-0.1428571428571429</v>
      </c>
      <c r="BP243" s="77"/>
    </row>
    <row r="244" spans="1:69" ht="15.9" customHeight="1" thickTop="1">
      <c r="A244" s="8" t="s">
        <v>125</v>
      </c>
      <c r="B244" s="22" t="s">
        <v>126</v>
      </c>
      <c r="C244" s="8" t="s">
        <v>127</v>
      </c>
      <c r="D244" s="23" t="s">
        <v>127</v>
      </c>
      <c r="E244" s="8" t="s">
        <v>39</v>
      </c>
      <c r="F244" s="188">
        <f>[1]AcreSummary!M70</f>
        <v>0.12301356552302616</v>
      </c>
      <c r="G244" s="25"/>
      <c r="H244" s="117"/>
      <c r="I244" s="57">
        <f>[1]Native!E68</f>
        <v>4.93</v>
      </c>
      <c r="J244" s="58">
        <f>[1]Native!F68</f>
        <v>9.25</v>
      </c>
      <c r="K244" s="59">
        <f>[1]Native!G68</f>
        <v>9.36</v>
      </c>
      <c r="L244" s="60">
        <f>[1]Native!H68</f>
        <v>9.07</v>
      </c>
      <c r="M244" s="61">
        <f>[1]Native!I68</f>
        <v>9.1300000000000008</v>
      </c>
      <c r="N244" s="62">
        <f>[1]Native!J68</f>
        <v>8.9</v>
      </c>
      <c r="O244" s="62">
        <v>8.9</v>
      </c>
      <c r="P244" s="62">
        <f>[1]Native!K68</f>
        <v>8.59</v>
      </c>
      <c r="Q244" s="63">
        <f>[1]Native!L68</f>
        <v>8.4700000000000006</v>
      </c>
      <c r="R244" s="64">
        <v>8.4700000000000006</v>
      </c>
      <c r="S244" s="65">
        <f>[1]Native!M68</f>
        <v>9.41</v>
      </c>
      <c r="T244" s="66">
        <f>[1]Native!N68</f>
        <v>9.23</v>
      </c>
      <c r="U244" s="67">
        <f>[1]Native!O68</f>
        <v>9.06</v>
      </c>
      <c r="V244" s="68">
        <f>[1]Native!P68</f>
        <v>9.4499999999999993</v>
      </c>
      <c r="W244" s="68">
        <f>[1]Native!Q68</f>
        <v>9.14</v>
      </c>
      <c r="X244" s="68">
        <v>9.16</v>
      </c>
      <c r="Y244" s="68">
        <v>9.6199999999999992</v>
      </c>
      <c r="Z244" s="68">
        <v>10.59</v>
      </c>
      <c r="AA244" s="68">
        <v>12.66</v>
      </c>
      <c r="AB244" s="68">
        <v>13.54</v>
      </c>
      <c r="AC244" s="68">
        <v>14.18</v>
      </c>
      <c r="AD244" s="68">
        <v>15.81</v>
      </c>
      <c r="AE244" s="68">
        <v>16.98</v>
      </c>
      <c r="AF244" s="68">
        <v>18.239999999999998</v>
      </c>
      <c r="AG244" s="69">
        <v>18.760000000000002</v>
      </c>
      <c r="AH244" s="70">
        <v>19.09</v>
      </c>
      <c r="AI244" s="203">
        <v>19.149999999999999</v>
      </c>
      <c r="AJ244" s="70">
        <v>19.350000000000001</v>
      </c>
      <c r="AK244" s="8">
        <f t="shared" si="49"/>
        <v>62</v>
      </c>
      <c r="AL244" s="8">
        <f t="shared" si="50"/>
        <v>63</v>
      </c>
      <c r="AM244" s="71">
        <f t="shared" si="51"/>
        <v>61</v>
      </c>
      <c r="AN244" s="72">
        <f t="shared" si="52"/>
        <v>63</v>
      </c>
      <c r="AO244" s="71">
        <f t="shared" si="41"/>
        <v>64</v>
      </c>
      <c r="AP244" s="72">
        <f t="shared" si="42"/>
        <v>62</v>
      </c>
      <c r="AQ244" s="71">
        <f t="shared" si="43"/>
        <v>61</v>
      </c>
      <c r="AR244" s="71">
        <f t="shared" si="43"/>
        <v>61</v>
      </c>
      <c r="AS244" s="71">
        <f t="shared" si="47"/>
        <v>68</v>
      </c>
      <c r="AT244" s="71">
        <f t="shared" si="48"/>
        <v>67</v>
      </c>
      <c r="AU244" s="71">
        <f t="shared" si="44"/>
        <v>66</v>
      </c>
      <c r="AV244" s="72">
        <f t="shared" si="45"/>
        <v>67</v>
      </c>
      <c r="AW244" s="72">
        <f>ROUND(W244/VLOOKUP($C244,CapRate,13),0)</f>
        <v>64</v>
      </c>
      <c r="AX244" s="122">
        <f>IF(ROUND(X244/VLOOKUP($C244,CapRate,14),0)&gt;10,X244/VLOOKUP($C244,CapRate,14),10)</f>
        <v>64.325842696629209</v>
      </c>
      <c r="AY244" s="122">
        <f>IF(ROUND(Y244/VLOOKUP($C244,CapRate,15),0)&gt;10,Y244/VLOOKUP($C244,CapRate,15),10)</f>
        <v>66.991643454038993</v>
      </c>
      <c r="AZ244" s="122">
        <f>IF(ROUND(Z244/VLOOKUP($C244,CapRate,16),0)&gt;10,Z244/VLOOKUP($C244,CapRate,16),10)</f>
        <v>73.59277275886032</v>
      </c>
      <c r="BA244" s="122">
        <f>IF(ROUND(AA244/VLOOKUP($C244,CapRate,17),0)&gt;10,AA244/VLOOKUP($C244,CapRate,17),10)</f>
        <v>87.190082644628106</v>
      </c>
      <c r="BB244" s="122">
        <f>IF(ROUND(AB244/VLOOKUP($C244,CapRate,18),0)&gt;10,AB244/VLOOKUP($C244,CapRate,18),10)</f>
        <v>92.803289924605892</v>
      </c>
      <c r="BC244" s="122">
        <f>IF(ROUND(AC244/VLOOKUP($C244,CapRate,19),0)&gt;10,AC244/VLOOKUP($C244,CapRate,19),10)</f>
        <v>96.990424076607383</v>
      </c>
      <c r="BD244" s="122">
        <f>IF(ROUND(AD244/VLOOKUP($C244,CapRate,20),0)&gt;10,AD244/VLOOKUP($C244,CapRate,20),10)</f>
        <v>107.91808873720137</v>
      </c>
      <c r="BE244" s="72">
        <f>IF(ROUND(AE244/VLOOKUP($C244,CapRate,21),0)&gt;10,AE244/VLOOKUP($C244,CapRate,21),10)</f>
        <v>115.82537517053206</v>
      </c>
      <c r="BF244" s="72">
        <f>IF(ROUND(AF244/VLOOKUP($C244,CapRate,22),0)&gt;10,AF244/VLOOKUP($C244,CapRate,22),10)</f>
        <v>124.42019099590722</v>
      </c>
      <c r="BG244" s="72">
        <f>IF(ROUND(AG244/VLOOKUP($C244,CapRate,23),0)&gt;10,AG244/VLOOKUP($C244,CapRate,23),10)</f>
        <v>128.05460750853243</v>
      </c>
      <c r="BH244" s="72">
        <f>IF(ROUND(AH244/VLOOKUP($C244,CapRate,24),0)&gt;10,AH244/VLOOKUP($C244,CapRate,24),10)</f>
        <v>130.39617486338798</v>
      </c>
      <c r="BI244" s="72">
        <f>IF(ROUND(AI244/VLOOKUP($C244,CapRate,25),0)&gt;10,AI244/VLOOKUP($C244,CapRate,25),10)</f>
        <v>131.25428375599725</v>
      </c>
      <c r="BJ244" s="72">
        <f>IF(ROUND(AJ244/VLOOKUP($C244,CapRate,26),0)&gt;10,AJ244/VLOOKUP($C244,CapRate,26),10)</f>
        <v>133.08115543328748</v>
      </c>
      <c r="BK244" s="75">
        <f t="shared" si="46"/>
        <v>1.3918568026978884E-2</v>
      </c>
      <c r="BL244" s="76"/>
      <c r="BM244" s="219">
        <f>BK244</f>
        <v>1.3918568026978884E-2</v>
      </c>
      <c r="BN244" s="220"/>
      <c r="BO244" s="220"/>
      <c r="BP244" s="220"/>
      <c r="BQ244" s="77">
        <f>AVERAGE(BL246:BL276)</f>
        <v>-5.1403075877346598E-2</v>
      </c>
    </row>
    <row r="245" spans="1:69" ht="15.9" customHeight="1">
      <c r="A245" s="8"/>
      <c r="B245" s="22"/>
      <c r="C245" s="8" t="s">
        <v>127</v>
      </c>
      <c r="D245" s="23"/>
      <c r="E245" s="8" t="s">
        <v>85</v>
      </c>
      <c r="F245" s="188">
        <f>[1]AcreSummary!L70</f>
        <v>0.32242701272570884</v>
      </c>
      <c r="G245" s="25"/>
      <c r="H245" s="117"/>
      <c r="I245" s="57"/>
      <c r="J245" s="58">
        <f>[1]Tame!D37</f>
        <v>8.1999999999999993</v>
      </c>
      <c r="K245" s="80">
        <f>[1]Tame!E37</f>
        <v>8.3000000000000007</v>
      </c>
      <c r="L245" s="68">
        <f>[1]Tame!F37</f>
        <v>7.99</v>
      </c>
      <c r="M245" s="58">
        <f>[1]Tame!G37</f>
        <v>7.82</v>
      </c>
      <c r="N245" s="81">
        <f>[1]Tame!H37</f>
        <v>7.44</v>
      </c>
      <c r="O245" s="62">
        <v>7.92</v>
      </c>
      <c r="P245" s="81">
        <f>[1]Tame!I37</f>
        <v>6.94</v>
      </c>
      <c r="Q245" s="82">
        <f>[1]Tame!J37</f>
        <v>6.91</v>
      </c>
      <c r="R245" s="83">
        <v>6.91</v>
      </c>
      <c r="S245" s="84">
        <f>[1]Tame!K37</f>
        <v>6.69</v>
      </c>
      <c r="T245" s="66">
        <f>[1]Tame!L37</f>
        <v>6.41</v>
      </c>
      <c r="U245" s="67">
        <f>[1]Tame!M37</f>
        <v>6.23</v>
      </c>
      <c r="V245" s="68">
        <f>[1]Tame!N37</f>
        <v>6.22</v>
      </c>
      <c r="W245" s="68">
        <f>[1]Tame!O37</f>
        <v>5.73</v>
      </c>
      <c r="X245" s="68">
        <v>7.72</v>
      </c>
      <c r="Y245" s="68">
        <v>7.57</v>
      </c>
      <c r="Z245" s="68">
        <v>8.09</v>
      </c>
      <c r="AA245" s="68">
        <v>9.08</v>
      </c>
      <c r="AB245" s="68">
        <v>10.17</v>
      </c>
      <c r="AC245" s="68">
        <v>0</v>
      </c>
      <c r="AD245" s="68">
        <v>13.12</v>
      </c>
      <c r="AE245" s="68">
        <v>15.48</v>
      </c>
      <c r="AF245" s="68">
        <v>17.07</v>
      </c>
      <c r="AG245" s="69">
        <v>18.87</v>
      </c>
      <c r="AH245" s="70">
        <v>20.56</v>
      </c>
      <c r="AI245" s="70">
        <v>21.45</v>
      </c>
      <c r="AJ245" s="70">
        <v>22.5</v>
      </c>
      <c r="AK245" s="8">
        <f>ROUND(J245/VLOOKUP($C245,CapRate,2),0)</f>
        <v>55</v>
      </c>
      <c r="AL245" s="8">
        <f>ROUND(K245/VLOOKUP($C245,CapRate,3),0)</f>
        <v>56</v>
      </c>
      <c r="AM245" s="85">
        <f>ROUND(L245/VLOOKUP($C245,CapRate,4),0)</f>
        <v>54</v>
      </c>
      <c r="AN245" s="23">
        <f>ROUND(M245/VLOOKUP($C245,CapRate,5),0)</f>
        <v>54</v>
      </c>
      <c r="AO245" s="85">
        <f t="shared" si="41"/>
        <v>57</v>
      </c>
      <c r="AP245" s="72">
        <f t="shared" si="42"/>
        <v>50</v>
      </c>
      <c r="AQ245" s="71">
        <f t="shared" si="43"/>
        <v>50</v>
      </c>
      <c r="AR245" s="71">
        <f t="shared" si="43"/>
        <v>50</v>
      </c>
      <c r="AS245" s="71">
        <f t="shared" si="47"/>
        <v>48</v>
      </c>
      <c r="AT245" s="71">
        <f t="shared" si="48"/>
        <v>46</v>
      </c>
      <c r="AU245" s="71">
        <f t="shared" si="44"/>
        <v>45</v>
      </c>
      <c r="AV245" s="72">
        <f>IF(ROUND(V245/VLOOKUP($C245,CapRate,12),0)&gt;AV244,V245/VLOOKUP($C245,CapRate,12),AV244)</f>
        <v>67</v>
      </c>
      <c r="AW245" s="72">
        <f>IF(ROUND(W245/VLOOKUP($C245,CapRate,13),0)&gt;AW244,W245/VLOOKUP($C245,CapRate,13),AW244)</f>
        <v>64</v>
      </c>
      <c r="AX245" s="72">
        <f>IF(ROUND(X245/VLOOKUP($C245,CapRate,14),0)&gt;AX244,X245/VLOOKUP($C245,CapRate,14),AX244)</f>
        <v>64.325842696629209</v>
      </c>
      <c r="AY245" s="72">
        <f>IF(ROUND(Y245/VLOOKUP($C245,CapRate,15),0)&gt;AY244,Y245/VLOOKUP($C245,CapRate,15),AY244)</f>
        <v>66.991643454038993</v>
      </c>
      <c r="AZ245" s="72">
        <f>IF(ROUND(Z245/VLOOKUP($C245,CapRate,16),0)&gt;AZ244,Z245/VLOOKUP($C245,CapRate,16),AZ244)</f>
        <v>73.59277275886032</v>
      </c>
      <c r="BA245" s="72">
        <f>IF(ROUND(AA245/VLOOKUP($C245,CapRate,17),0)&gt;BA244,AA245/VLOOKUP($C245,CapRate,17),BA244)</f>
        <v>87.190082644628106</v>
      </c>
      <c r="BB245" s="72">
        <f>IF(ROUND(AB245/VLOOKUP($C245,CapRate,18),0)&gt;BB244,AB245/VLOOKUP($C245,CapRate,18),BB244)</f>
        <v>92.803289924605892</v>
      </c>
      <c r="BC245" s="72">
        <f>IF(ROUND(AC245/VLOOKUP($C245,CapRate,19),0)&gt;BC244,AC245/VLOOKUP($C245,CapRate,19),BC244)</f>
        <v>96.990424076607383</v>
      </c>
      <c r="BD245" s="72">
        <f>IF(ROUND(AD245/VLOOKUP($C245,CapRate,20),0)&gt;BD244,AD245/VLOOKUP($C245,CapRate,20),BD244)</f>
        <v>107.91808873720137</v>
      </c>
      <c r="BE245" s="72">
        <f>IF(ROUND(AE245/VLOOKUP($C245,CapRate,21),0)&gt;BE244,AE245/VLOOKUP($C245,CapRate,21),BE244)</f>
        <v>115.82537517053206</v>
      </c>
      <c r="BF245" s="72">
        <f>IF(ROUND(AF245/VLOOKUP($C245,CapRate,22),0)&gt;BF244,AF245/VLOOKUP($C245,CapRate,22),BF244)</f>
        <v>124.42019099590722</v>
      </c>
      <c r="BG245" s="72">
        <f>IF(ROUND(AG245/VLOOKUP($C245,CapRate,23),0)&gt;BG244,AG245/VLOOKUP($C245,CapRate,23),BG244)</f>
        <v>128.80546075085326</v>
      </c>
      <c r="BH245" s="72">
        <f>IF(ROUND(AH245/VLOOKUP($C245,CapRate,24),0)&gt;BH244,AH245/VLOOKUP($C245,CapRate,24),BH244)</f>
        <v>140.43715846994533</v>
      </c>
      <c r="BI245" s="72">
        <f>IF(ROUND(AI245/VLOOKUP($C245,CapRate,25),0)&gt;BI244,AI245/VLOOKUP($C245,CapRate,25),BI244)</f>
        <v>147.01850582590814</v>
      </c>
      <c r="BJ245" s="72">
        <f>IF(ROUND(AJ245/VLOOKUP($C245,CapRate,26),0)&gt;BJ244,AJ245/VLOOKUP($C245,CapRate,26),BJ244)</f>
        <v>154.74552957359009</v>
      </c>
      <c r="BK245" s="87">
        <f t="shared" si="46"/>
        <v>5.2558170852531338E-2</v>
      </c>
      <c r="BL245" s="76"/>
      <c r="BM245" s="77"/>
      <c r="BN245" s="77"/>
      <c r="BO245" s="77"/>
      <c r="BP245" s="77">
        <f>BK245</f>
        <v>5.2558170852531338E-2</v>
      </c>
    </row>
    <row r="246" spans="1:69" ht="15.9" customHeight="1" thickBot="1">
      <c r="A246" s="8" t="s">
        <v>125</v>
      </c>
      <c r="B246" s="22"/>
      <c r="C246" s="90" t="s">
        <v>127</v>
      </c>
      <c r="D246" s="91"/>
      <c r="E246" s="90" t="s">
        <v>40</v>
      </c>
      <c r="F246" s="190">
        <f>[1]AcreSummary!J70</f>
        <v>0.54656852580080451</v>
      </c>
      <c r="G246" s="191"/>
      <c r="H246" s="94"/>
      <c r="I246" s="95">
        <f>[1]Dry!E70</f>
        <v>32.21</v>
      </c>
      <c r="J246" s="96">
        <f>[1]Dry!F70</f>
        <v>31.52</v>
      </c>
      <c r="K246" s="97">
        <f>[1]Dry!G70</f>
        <v>31.87</v>
      </c>
      <c r="L246" s="98">
        <f>[1]Dry!H70</f>
        <v>32.86</v>
      </c>
      <c r="M246" s="96">
        <f>[1]Dry!I70</f>
        <v>34.119999999999997</v>
      </c>
      <c r="N246" s="99">
        <f>[1]Dry!J70</f>
        <v>35.479999999999997</v>
      </c>
      <c r="O246" s="100">
        <v>36.119999999999997</v>
      </c>
      <c r="P246" s="99">
        <f>[1]Dry!K70</f>
        <v>36.729999999999997</v>
      </c>
      <c r="Q246" s="101">
        <f>[1]Dry!L70</f>
        <v>37.47</v>
      </c>
      <c r="R246" s="221">
        <f>Q246*0.95</f>
        <v>35.596499999999999</v>
      </c>
      <c r="S246" s="103">
        <f>[1]Dry!N70</f>
        <v>37.18</v>
      </c>
      <c r="T246" s="104">
        <f>[1]Dry!O70</f>
        <v>36.35</v>
      </c>
      <c r="U246" s="105">
        <f>[1]Dry!P70</f>
        <v>34.549999999999997</v>
      </c>
      <c r="V246" s="98">
        <f>[1]Dry!Q70</f>
        <v>29.11</v>
      </c>
      <c r="W246" s="98">
        <f>[1]Dry!R70</f>
        <v>34.950000000000003</v>
      </c>
      <c r="X246" s="98">
        <f>[1]Dry!S70</f>
        <v>42.77</v>
      </c>
      <c r="Y246" s="98">
        <f>[1]Dry!T70</f>
        <v>52.79</v>
      </c>
      <c r="Z246" s="98">
        <v>64.75</v>
      </c>
      <c r="AA246" s="98">
        <v>78.81</v>
      </c>
      <c r="AB246" s="98">
        <v>92.12</v>
      </c>
      <c r="AC246" s="98">
        <v>105.69</v>
      </c>
      <c r="AD246" s="98">
        <v>115.63</v>
      </c>
      <c r="AE246" s="98">
        <v>123.53</v>
      </c>
      <c r="AF246" s="98">
        <v>127.64</v>
      </c>
      <c r="AG246" s="106">
        <v>131.09</v>
      </c>
      <c r="AH246" s="107">
        <v>126.33</v>
      </c>
      <c r="AI246" s="107">
        <v>112.48</v>
      </c>
      <c r="AJ246" s="107">
        <v>97.22</v>
      </c>
      <c r="AK246" s="90">
        <f t="shared" si="49"/>
        <v>211</v>
      </c>
      <c r="AL246" s="90">
        <f t="shared" si="50"/>
        <v>215</v>
      </c>
      <c r="AM246" s="108">
        <f t="shared" si="51"/>
        <v>220</v>
      </c>
      <c r="AN246" s="91">
        <f t="shared" si="52"/>
        <v>234</v>
      </c>
      <c r="AO246" s="108">
        <f t="shared" si="41"/>
        <v>259</v>
      </c>
      <c r="AP246" s="109">
        <f t="shared" si="42"/>
        <v>267</v>
      </c>
      <c r="AQ246" s="110">
        <f t="shared" si="43"/>
        <v>272</v>
      </c>
      <c r="AR246" s="222">
        <f t="shared" si="43"/>
        <v>258</v>
      </c>
      <c r="AS246" s="110">
        <f t="shared" si="47"/>
        <v>269</v>
      </c>
      <c r="AT246" s="110">
        <f t="shared" si="48"/>
        <v>263</v>
      </c>
      <c r="AU246" s="110">
        <f t="shared" si="44"/>
        <v>250</v>
      </c>
      <c r="AV246" s="109">
        <f t="shared" si="45"/>
        <v>206</v>
      </c>
      <c r="AW246" s="109">
        <f>ROUND(W246/VLOOKUP($C246,CapRate,13),0)</f>
        <v>246</v>
      </c>
      <c r="AX246" s="72">
        <f>ROUND(X246/VLOOKUP($C246,CapRate,14),0)</f>
        <v>300</v>
      </c>
      <c r="AY246" s="72">
        <f>ROUND(Y246/VLOOKUP($C246,CapRate,15),0)</f>
        <v>368</v>
      </c>
      <c r="AZ246" s="72">
        <f>ROUND(Z246/VLOOKUP($C246,CapRate,16),0)</f>
        <v>450</v>
      </c>
      <c r="BA246" s="72">
        <f>ROUND(AA246/VLOOKUP($C246,CapRate,17),0)</f>
        <v>543</v>
      </c>
      <c r="BB246" s="72">
        <f>ROUND(AB246/VLOOKUP($C246,CapRate,18),0)</f>
        <v>631</v>
      </c>
      <c r="BC246" s="72">
        <f>ROUND(AC246/VLOOKUP($C246,CapRate,19),0)</f>
        <v>723</v>
      </c>
      <c r="BD246" s="72">
        <f>ROUND(AD246/VLOOKUP($C246,CapRate,20),0)</f>
        <v>789</v>
      </c>
      <c r="BE246" s="72">
        <f>ROUND(AE246/VLOOKUP($C246,CapRate,21),0)</f>
        <v>843</v>
      </c>
      <c r="BF246" s="72">
        <f>ROUND(AF246/VLOOKUP($C246,CapRate,22),0)</f>
        <v>871</v>
      </c>
      <c r="BG246" s="72">
        <f>ROUND(AG246/VLOOKUP($C246,CapRate,23),0)</f>
        <v>895</v>
      </c>
      <c r="BH246" s="72">
        <f>ROUND(AH246/VLOOKUP($C246,CapRate,24),0)</f>
        <v>863</v>
      </c>
      <c r="BI246" s="72">
        <f>ROUND(AI246/VLOOKUP($C246,CapRate,25),0)</f>
        <v>771</v>
      </c>
      <c r="BJ246" s="72">
        <f>ROUND(AJ246/VLOOKUP($C246,CapRate,26),0)</f>
        <v>669</v>
      </c>
      <c r="BK246" s="87">
        <f t="shared" si="46"/>
        <v>-0.13229571984435795</v>
      </c>
      <c r="BL246" s="114">
        <f>((F244*BK244)+(F245*BK245)+(F246*BK246))</f>
        <v>-5.3650329862804401E-2</v>
      </c>
      <c r="BM246" s="77"/>
      <c r="BN246" s="77">
        <f>BK246</f>
        <v>-0.13229571984435795</v>
      </c>
      <c r="BO246" s="77"/>
      <c r="BP246" s="77"/>
    </row>
    <row r="247" spans="1:69" ht="15.9" customHeight="1" thickTop="1">
      <c r="A247" s="8" t="s">
        <v>125</v>
      </c>
      <c r="B247" s="22"/>
      <c r="C247" s="8" t="s">
        <v>128</v>
      </c>
      <c r="D247" s="23" t="s">
        <v>128</v>
      </c>
      <c r="E247" s="8" t="s">
        <v>39</v>
      </c>
      <c r="F247" s="188">
        <f>[1]AcreSummary!M71</f>
        <v>0.10681960289000998</v>
      </c>
      <c r="G247" s="25"/>
      <c r="H247" s="206"/>
      <c r="I247" s="207">
        <f>[1]Native!E69</f>
        <v>10.49</v>
      </c>
      <c r="J247" s="208">
        <f>[1]Native!F69</f>
        <v>10.67</v>
      </c>
      <c r="K247" s="80">
        <f>[1]Native!G69</f>
        <v>11.11</v>
      </c>
      <c r="L247" s="68">
        <f>[1]Native!H69</f>
        <v>10.84</v>
      </c>
      <c r="M247" s="58">
        <f>[1]Native!I69</f>
        <v>10.95</v>
      </c>
      <c r="N247" s="81">
        <f>[1]Native!J69</f>
        <v>10.75</v>
      </c>
      <c r="O247" s="62">
        <v>9.4</v>
      </c>
      <c r="P247" s="81">
        <f>[1]Native!K69</f>
        <v>10.42</v>
      </c>
      <c r="Q247" s="82">
        <f>[1]Native!L69</f>
        <v>10.26</v>
      </c>
      <c r="R247" s="83">
        <v>10.26</v>
      </c>
      <c r="S247" s="84">
        <f>[1]Native!M69</f>
        <v>10.15</v>
      </c>
      <c r="T247" s="66">
        <f>[1]Native!N69</f>
        <v>9.85</v>
      </c>
      <c r="U247" s="67">
        <f>[1]Native!O69</f>
        <v>9.4</v>
      </c>
      <c r="V247" s="68">
        <f>[1]Native!P69</f>
        <v>9.68</v>
      </c>
      <c r="W247" s="68">
        <f>[1]Native!Q69</f>
        <v>9.39</v>
      </c>
      <c r="X247" s="68">
        <v>9.73</v>
      </c>
      <c r="Y247" s="68">
        <v>10.15</v>
      </c>
      <c r="Z247" s="68">
        <v>11.08</v>
      </c>
      <c r="AA247" s="68">
        <v>11.9</v>
      </c>
      <c r="AB247" s="68">
        <v>12.75</v>
      </c>
      <c r="AC247" s="68">
        <v>13.39</v>
      </c>
      <c r="AD247" s="68">
        <v>15.45</v>
      </c>
      <c r="AE247" s="68">
        <v>16.66</v>
      </c>
      <c r="AF247" s="68">
        <v>17.010000000000002</v>
      </c>
      <c r="AG247" s="69">
        <v>17.52</v>
      </c>
      <c r="AH247" s="70">
        <v>17.850000000000001</v>
      </c>
      <c r="AI247" s="70">
        <v>17.89</v>
      </c>
      <c r="AJ247" s="70">
        <v>18.07</v>
      </c>
      <c r="AK247" s="8">
        <f t="shared" si="49"/>
        <v>70</v>
      </c>
      <c r="AL247" s="14">
        <f t="shared" si="50"/>
        <v>73</v>
      </c>
      <c r="AM247" s="8">
        <f t="shared" si="51"/>
        <v>70</v>
      </c>
      <c r="AN247" s="23">
        <f t="shared" si="52"/>
        <v>73</v>
      </c>
      <c r="AO247" s="85">
        <f t="shared" si="41"/>
        <v>65</v>
      </c>
      <c r="AP247" s="72">
        <f t="shared" si="42"/>
        <v>73</v>
      </c>
      <c r="AQ247" s="71">
        <f t="shared" si="43"/>
        <v>72</v>
      </c>
      <c r="AR247" s="71">
        <f t="shared" si="43"/>
        <v>72</v>
      </c>
      <c r="AS247" s="71">
        <f t="shared" si="47"/>
        <v>72</v>
      </c>
      <c r="AT247" s="71">
        <f t="shared" si="48"/>
        <v>70</v>
      </c>
      <c r="AU247" s="71">
        <f t="shared" si="44"/>
        <v>66</v>
      </c>
      <c r="AV247" s="72">
        <f t="shared" si="45"/>
        <v>68</v>
      </c>
      <c r="AW247" s="72">
        <f>ROUND(W247/VLOOKUP($C247,CapRate,13),0)</f>
        <v>65</v>
      </c>
      <c r="AX247" s="122">
        <f>IF(ROUND(X247/VLOOKUP($C247,CapRate,14),0)&gt;10,X247/VLOOKUP($C247,CapRate,14),10)</f>
        <v>67.899511514305644</v>
      </c>
      <c r="AY247" s="122">
        <f>IF(ROUND(Y247/VLOOKUP($C247,CapRate,15),0)&gt;10,Y247/VLOOKUP($C247,CapRate,15),10)</f>
        <v>70.879888268156435</v>
      </c>
      <c r="AZ247" s="122">
        <f>IF(ROUND(Z247/VLOOKUP($C247,CapRate,16),0)&gt;10,Z247/VLOOKUP($C247,CapRate,16),10)</f>
        <v>77.374301675977662</v>
      </c>
      <c r="BA247" s="122">
        <f>IF(ROUND(AA247/VLOOKUP($C247,CapRate,17),0)&gt;10,AA247/VLOOKUP($C247,CapRate,17),10)</f>
        <v>83.216783216783227</v>
      </c>
      <c r="BB247" s="122">
        <f>IF(ROUND(AB247/VLOOKUP($C247,CapRate,18),0)&gt;10,AB247/VLOOKUP($C247,CapRate,18),10)</f>
        <v>89.223233030090967</v>
      </c>
      <c r="BC247" s="122">
        <f>IF(ROUND(AC247/VLOOKUP($C247,CapRate,19),0)&gt;10,AC247/VLOOKUP($C247,CapRate,19),10)</f>
        <v>93.833216538192019</v>
      </c>
      <c r="BD247" s="122">
        <f>IF(ROUND(AD247/VLOOKUP($C247,CapRate,20),0)&gt;10,AD247/VLOOKUP($C247,CapRate,20),10)</f>
        <v>108.57343640196765</v>
      </c>
      <c r="BE247" s="122">
        <f>IF(ROUND(AE247/VLOOKUP($C247,CapRate,21),0)&gt;10,AE247/VLOOKUP($C247,CapRate,21),10)</f>
        <v>117.48942172073342</v>
      </c>
      <c r="BF247" s="122">
        <f>IF(ROUND(AF247/VLOOKUP($C247,CapRate,22),0)&gt;10,AF247/VLOOKUP($C247,CapRate,22),10)</f>
        <v>120.38216560509555</v>
      </c>
      <c r="BG247" s="122">
        <f>IF(ROUND(AG247/VLOOKUP($C247,CapRate,23),0)&gt;10,AG247/VLOOKUP($C247,CapRate,23),10)</f>
        <v>124.43181818181817</v>
      </c>
      <c r="BH247" s="122">
        <f>IF(ROUND(AH247/VLOOKUP($C247,CapRate,24),0)&gt;10,AH247/VLOOKUP($C247,CapRate,24),10)</f>
        <v>127.31811697574895</v>
      </c>
      <c r="BI247" s="122">
        <f>IF(ROUND(AI247/VLOOKUP($C247,CapRate,25),0)&gt;10,AI247/VLOOKUP($C247,CapRate,25),10)</f>
        <v>127.96852646638054</v>
      </c>
      <c r="BJ247" s="122">
        <f>IF(ROUND(AJ247/VLOOKUP($C247,CapRate,26),0)&gt;10,AJ247/VLOOKUP($C247,CapRate,26),10)</f>
        <v>129.90654205607476</v>
      </c>
      <c r="BK247" s="75">
        <f t="shared" si="46"/>
        <v>1.5144470622652451E-2</v>
      </c>
      <c r="BL247" s="76"/>
      <c r="BM247" s="219">
        <f>BK247</f>
        <v>1.5144470622652451E-2</v>
      </c>
      <c r="BN247" s="220"/>
      <c r="BO247" s="220"/>
      <c r="BP247" s="220"/>
    </row>
    <row r="248" spans="1:69" ht="15.9" customHeight="1">
      <c r="A248" s="8"/>
      <c r="B248" s="22"/>
      <c r="C248" s="8" t="s">
        <v>128</v>
      </c>
      <c r="D248" s="23"/>
      <c r="E248" s="8" t="s">
        <v>85</v>
      </c>
      <c r="F248" s="188">
        <f>[1]AcreSummary!L71</f>
        <v>8.8518156077535104E-2</v>
      </c>
      <c r="G248" s="25"/>
      <c r="H248" s="117"/>
      <c r="I248" s="57"/>
      <c r="J248" s="58">
        <f>[1]Tame!D38</f>
        <v>12.3</v>
      </c>
      <c r="K248" s="80">
        <f>[1]Tame!E38</f>
        <v>12.87</v>
      </c>
      <c r="L248" s="68">
        <f>[1]Tame!F38</f>
        <v>12.8</v>
      </c>
      <c r="M248" s="58">
        <f>[1]Tame!G38</f>
        <v>12.97</v>
      </c>
      <c r="N248" s="81">
        <f>[1]Tame!H38</f>
        <v>12.52</v>
      </c>
      <c r="O248" s="62">
        <v>12.42</v>
      </c>
      <c r="P248" s="81">
        <f>[1]Tame!I38</f>
        <v>11.86</v>
      </c>
      <c r="Q248" s="82">
        <f>[1]Tame!J38</f>
        <v>11.73</v>
      </c>
      <c r="R248" s="83">
        <v>11.73</v>
      </c>
      <c r="S248" s="84">
        <f>[1]Tame!K38</f>
        <v>11.48</v>
      </c>
      <c r="T248" s="66">
        <f>[1]Tame!L38</f>
        <v>11.04</v>
      </c>
      <c r="U248" s="67">
        <f>[1]Tame!M38</f>
        <v>10.45</v>
      </c>
      <c r="V248" s="68">
        <f>[1]Tame!N38</f>
        <v>9.11</v>
      </c>
      <c r="W248" s="68">
        <f>[1]Tame!O38</f>
        <v>8.16</v>
      </c>
      <c r="X248" s="68">
        <v>7.77</v>
      </c>
      <c r="Y248" s="68">
        <v>7.39</v>
      </c>
      <c r="Z248" s="68">
        <v>7.65</v>
      </c>
      <c r="AA248" s="68">
        <v>8.3699999999999992</v>
      </c>
      <c r="AB248" s="68">
        <v>9.74</v>
      </c>
      <c r="AC248" s="68">
        <v>0</v>
      </c>
      <c r="AD248" s="68">
        <v>13.08</v>
      </c>
      <c r="AE248" s="68">
        <v>15.45</v>
      </c>
      <c r="AF248" s="68">
        <v>17.04</v>
      </c>
      <c r="AG248" s="69">
        <v>18.84</v>
      </c>
      <c r="AH248" s="70">
        <v>20.53</v>
      </c>
      <c r="AI248" s="70">
        <v>21.41</v>
      </c>
      <c r="AJ248" s="70">
        <v>22.47</v>
      </c>
      <c r="AK248" s="8">
        <f>ROUND(J248/VLOOKUP($C248,CapRate,2),0)</f>
        <v>80</v>
      </c>
      <c r="AL248" s="24">
        <f>ROUND(K248/VLOOKUP($C248,CapRate,3),0)</f>
        <v>85</v>
      </c>
      <c r="AM248" s="8">
        <f>ROUND(L248/VLOOKUP($C248,CapRate,4),0)</f>
        <v>83</v>
      </c>
      <c r="AN248" s="23">
        <f>ROUND(M248/VLOOKUP($C248,CapRate,5),0)</f>
        <v>86</v>
      </c>
      <c r="AO248" s="85">
        <f t="shared" si="41"/>
        <v>86</v>
      </c>
      <c r="AP248" s="72">
        <f t="shared" si="42"/>
        <v>84</v>
      </c>
      <c r="AQ248" s="71">
        <f t="shared" si="43"/>
        <v>82</v>
      </c>
      <c r="AR248" s="71">
        <f t="shared" si="43"/>
        <v>82</v>
      </c>
      <c r="AS248" s="71">
        <f t="shared" si="47"/>
        <v>81</v>
      </c>
      <c r="AT248" s="71">
        <f t="shared" si="48"/>
        <v>78</v>
      </c>
      <c r="AU248" s="71">
        <f t="shared" si="44"/>
        <v>74</v>
      </c>
      <c r="AV248" s="72">
        <f>IF(ROUND(V248/VLOOKUP($C248,CapRate,12),0)&gt;AV247,V248/VLOOKUP($C248,CapRate,12),AV247)</f>
        <v>68</v>
      </c>
      <c r="AW248" s="72">
        <f>IF(ROUND(W248/VLOOKUP($C248,CapRate,13),0)&gt;AW247,W248/VLOOKUP($C248,CapRate,13),AW247)</f>
        <v>65</v>
      </c>
      <c r="AX248" s="72">
        <f>IF(ROUND(X248/VLOOKUP($C248,CapRate,14),0)&gt;AX247,X248/VLOOKUP($C248,CapRate,14),AX247)</f>
        <v>67.899511514305644</v>
      </c>
      <c r="AY248" s="72">
        <f>IF(ROUND(Y248/VLOOKUP($C248,CapRate,15),0)&gt;AY247,Y248/VLOOKUP($C248,CapRate,15),AY247)</f>
        <v>70.879888268156435</v>
      </c>
      <c r="AZ248" s="72">
        <f>IF(ROUND(Z248/VLOOKUP($C248,CapRate,16),0)&gt;AZ247,Z248/VLOOKUP($C248,CapRate,16),AZ247)</f>
        <v>77.374301675977662</v>
      </c>
      <c r="BA248" s="72">
        <f>IF(ROUND(AA248/VLOOKUP($C248,CapRate,17),0)&gt;BA247,AA248/VLOOKUP($C248,CapRate,17),BA247)</f>
        <v>83.216783216783227</v>
      </c>
      <c r="BB248" s="72">
        <f>IF(ROUND(AB248/VLOOKUP($C248,CapRate,18),0)&gt;BB247,AB248/VLOOKUP($C248,CapRate,18),BB247)</f>
        <v>89.223233030090967</v>
      </c>
      <c r="BC248" s="72">
        <f>IF(ROUND(AC248/VLOOKUP($C248,CapRate,19),0)&gt;BC247,AC248/VLOOKUP($C248,CapRate,19),BC247)</f>
        <v>93.833216538192019</v>
      </c>
      <c r="BD248" s="72">
        <f>IF(ROUND(AD248/VLOOKUP($C248,CapRate,20),0)&gt;BD247,AD248/VLOOKUP($C248,CapRate,20),BD247)</f>
        <v>108.57343640196765</v>
      </c>
      <c r="BE248" s="72">
        <f>IF(ROUND(AE248/VLOOKUP($C248,CapRate,21),0)&gt;BE247,AE248/VLOOKUP($C248,CapRate,21),BE247)</f>
        <v>117.48942172073342</v>
      </c>
      <c r="BF248" s="72">
        <f>IF(ROUND(AF248/VLOOKUP($C248,CapRate,22),0)&gt;BF247,AF248/VLOOKUP($C248,CapRate,22),BF247)</f>
        <v>120.5944798301486</v>
      </c>
      <c r="BG248" s="72">
        <f>IF(ROUND(AG248/VLOOKUP($C248,CapRate,23),0)&gt;BG247,AG248/VLOOKUP($C248,CapRate,23),BG247)</f>
        <v>133.80681818181816</v>
      </c>
      <c r="BH248" s="72">
        <f>IF(ROUND(AH248/VLOOKUP($C248,CapRate,24),0)&gt;BH247,AH248/VLOOKUP($C248,CapRate,24),BH247)</f>
        <v>146.43366619115551</v>
      </c>
      <c r="BI248" s="72">
        <f>IF(ROUND(AI248/VLOOKUP($C248,CapRate,25),0)&gt;BI247,AI248/VLOOKUP($C248,CapRate,25),BI247)</f>
        <v>153.14735336194562</v>
      </c>
      <c r="BJ248" s="72">
        <f>IF(ROUND(AJ248/VLOOKUP($C248,CapRate,26),0)&gt;BJ247,AJ248/VLOOKUP($C248,CapRate,26),BJ247)</f>
        <v>161.53846153846152</v>
      </c>
      <c r="BK248" s="87">
        <f t="shared" si="46"/>
        <v>5.4791075342219608E-2</v>
      </c>
      <c r="BL248" s="76"/>
      <c r="BM248" s="77"/>
      <c r="BN248" s="77"/>
      <c r="BO248" s="77"/>
      <c r="BP248" s="77">
        <f>BK248</f>
        <v>5.4791075342219608E-2</v>
      </c>
    </row>
    <row r="249" spans="1:69" ht="15.9" customHeight="1" thickBot="1">
      <c r="A249" s="8" t="s">
        <v>125</v>
      </c>
      <c r="B249" s="22"/>
      <c r="C249" s="90" t="s">
        <v>128</v>
      </c>
      <c r="D249" s="91"/>
      <c r="E249" s="90" t="s">
        <v>40</v>
      </c>
      <c r="F249" s="190">
        <f>[1]AcreSummary!J71</f>
        <v>0.7842927636501188</v>
      </c>
      <c r="G249" s="191"/>
      <c r="H249" s="94"/>
      <c r="I249" s="95">
        <f>[1]Dry!E71</f>
        <v>35.78</v>
      </c>
      <c r="J249" s="96">
        <f>[1]Dry!F71</f>
        <v>33.090000000000003</v>
      </c>
      <c r="K249" s="97">
        <f>[1]Dry!G71</f>
        <v>35.549999999999997</v>
      </c>
      <c r="L249" s="98">
        <f>[1]Dry!H71</f>
        <v>38.89</v>
      </c>
      <c r="M249" s="96">
        <f>[1]Dry!I71</f>
        <v>41.73</v>
      </c>
      <c r="N249" s="99">
        <f>[1]Dry!J71</f>
        <v>44.65</v>
      </c>
      <c r="O249" s="100">
        <v>44.24</v>
      </c>
      <c r="P249" s="99">
        <f>[1]Dry!K71</f>
        <v>45.9</v>
      </c>
      <c r="Q249" s="101">
        <f>[1]Dry!L71</f>
        <v>47.45</v>
      </c>
      <c r="R249" s="221">
        <f>Q249*0.95</f>
        <v>45.077500000000001</v>
      </c>
      <c r="S249" s="103">
        <f>[1]Dry!N71</f>
        <v>48.83</v>
      </c>
      <c r="T249" s="104">
        <f>[1]Dry!O71</f>
        <v>49.79</v>
      </c>
      <c r="U249" s="105">
        <f>[1]Dry!P71</f>
        <v>48.48</v>
      </c>
      <c r="V249" s="98">
        <f>[1]Dry!Q71</f>
        <v>49.31</v>
      </c>
      <c r="W249" s="98">
        <f>[1]Dry!R71</f>
        <v>56.59</v>
      </c>
      <c r="X249" s="98">
        <f>[1]Dry!S71</f>
        <v>67.19</v>
      </c>
      <c r="Y249" s="98">
        <f>[1]Dry!T71</f>
        <v>80.290000000000006</v>
      </c>
      <c r="Z249" s="98">
        <v>95.94</v>
      </c>
      <c r="AA249" s="98">
        <v>114.87</v>
      </c>
      <c r="AB249" s="98">
        <v>146.16999999999999</v>
      </c>
      <c r="AC249" s="98">
        <v>164.23</v>
      </c>
      <c r="AD249" s="98">
        <v>178.31</v>
      </c>
      <c r="AE249" s="98">
        <v>185.95</v>
      </c>
      <c r="AF249" s="98">
        <v>188.61</v>
      </c>
      <c r="AG249" s="106">
        <v>188.35</v>
      </c>
      <c r="AH249" s="107">
        <v>178.03</v>
      </c>
      <c r="AI249" s="107">
        <v>158.06</v>
      </c>
      <c r="AJ249" s="107">
        <v>138.32</v>
      </c>
      <c r="AK249" s="90">
        <f t="shared" si="49"/>
        <v>217</v>
      </c>
      <c r="AL249" s="90">
        <f t="shared" si="50"/>
        <v>233</v>
      </c>
      <c r="AM249" s="108">
        <f t="shared" si="51"/>
        <v>253</v>
      </c>
      <c r="AN249" s="91">
        <f t="shared" si="52"/>
        <v>277</v>
      </c>
      <c r="AO249" s="108">
        <f t="shared" si="41"/>
        <v>308</v>
      </c>
      <c r="AP249" s="109">
        <f t="shared" si="42"/>
        <v>323</v>
      </c>
      <c r="AQ249" s="110">
        <f t="shared" si="43"/>
        <v>334</v>
      </c>
      <c r="AR249" s="222">
        <f t="shared" si="43"/>
        <v>317</v>
      </c>
      <c r="AS249" s="110">
        <f t="shared" si="47"/>
        <v>344</v>
      </c>
      <c r="AT249" s="110">
        <f t="shared" si="48"/>
        <v>352</v>
      </c>
      <c r="AU249" s="110">
        <f t="shared" si="44"/>
        <v>343</v>
      </c>
      <c r="AV249" s="109">
        <f t="shared" si="45"/>
        <v>344</v>
      </c>
      <c r="AW249" s="109">
        <f>ROUND(W249/VLOOKUP($C249,CapRate,13),0)</f>
        <v>395</v>
      </c>
      <c r="AX249" s="72">
        <f>ROUND(X249/VLOOKUP($C249,CapRate,14),0)</f>
        <v>469</v>
      </c>
      <c r="AY249" s="72">
        <f>ROUND(Y249/VLOOKUP($C249,CapRate,15),0)</f>
        <v>561</v>
      </c>
      <c r="AZ249" s="72">
        <f>ROUND(Z249/VLOOKUP($C249,CapRate,16),0)</f>
        <v>670</v>
      </c>
      <c r="BA249" s="72">
        <f>ROUND(AA249/VLOOKUP($C249,CapRate,17),0)</f>
        <v>803</v>
      </c>
      <c r="BB249" s="72">
        <f>ROUND(AB249/VLOOKUP($C249,CapRate,18),0)</f>
        <v>1023</v>
      </c>
      <c r="BC249" s="72">
        <f>ROUND(AC249/VLOOKUP($C249,CapRate,19),0)</f>
        <v>1151</v>
      </c>
      <c r="BD249" s="72">
        <f>ROUND(AD249/VLOOKUP($C249,CapRate,20),0)</f>
        <v>1253</v>
      </c>
      <c r="BE249" s="72">
        <f>ROUND(AE249/VLOOKUP($C249,CapRate,21),0)</f>
        <v>1311</v>
      </c>
      <c r="BF249" s="72">
        <f>ROUND(AF249/VLOOKUP($C249,CapRate,22),0)</f>
        <v>1335</v>
      </c>
      <c r="BG249" s="72">
        <f>ROUND(AG249/VLOOKUP($C249,CapRate,23),0)</f>
        <v>1338</v>
      </c>
      <c r="BH249" s="72">
        <f>ROUND(AH249/VLOOKUP($C249,CapRate,24),0)</f>
        <v>1270</v>
      </c>
      <c r="BI249" s="72">
        <f>ROUND(AI249/VLOOKUP($C249,CapRate,25),0)</f>
        <v>1131</v>
      </c>
      <c r="BJ249" s="72">
        <f>ROUND(AJ249/VLOOKUP($C249,CapRate,26),0)</f>
        <v>994</v>
      </c>
      <c r="BK249" s="87">
        <f t="shared" si="46"/>
        <v>-0.12113174182139697</v>
      </c>
      <c r="BL249" s="114">
        <f>((F247*BK247)+(F248*BK248)+(F249*BK249))</f>
        <v>-8.8535017262166366E-2</v>
      </c>
      <c r="BM249" s="77"/>
      <c r="BN249" s="77">
        <f>BK249</f>
        <v>-0.12113174182139697</v>
      </c>
      <c r="BO249" s="77"/>
      <c r="BP249" s="77"/>
    </row>
    <row r="250" spans="1:69" ht="15.9" customHeight="1" thickTop="1">
      <c r="A250" s="8" t="s">
        <v>125</v>
      </c>
      <c r="B250" s="22"/>
      <c r="C250" s="8" t="s">
        <v>129</v>
      </c>
      <c r="D250" s="23" t="s">
        <v>129</v>
      </c>
      <c r="E250" s="8" t="s">
        <v>39</v>
      </c>
      <c r="F250" s="188">
        <f>[1]AcreSummary!M72</f>
        <v>1.5267841269386547E-2</v>
      </c>
      <c r="G250" s="25"/>
      <c r="H250" s="117"/>
      <c r="I250" s="57">
        <f>[1]Native!E70</f>
        <v>8.15</v>
      </c>
      <c r="J250" s="58">
        <f>[1]Native!F70</f>
        <v>9.16</v>
      </c>
      <c r="K250" s="80">
        <f>[1]Native!G70</f>
        <v>9.18</v>
      </c>
      <c r="L250" s="68">
        <f>[1]Native!H70</f>
        <v>8.7799999999999994</v>
      </c>
      <c r="M250" s="58">
        <f>[1]Native!I70</f>
        <v>8.7100000000000009</v>
      </c>
      <c r="N250" s="81">
        <f>[1]Native!J70</f>
        <v>8.34</v>
      </c>
      <c r="O250" s="62">
        <v>12.12</v>
      </c>
      <c r="P250" s="81">
        <f>[1]Native!K70</f>
        <v>13.75</v>
      </c>
      <c r="Q250" s="82">
        <f>[1]Native!L70</f>
        <v>12.62</v>
      </c>
      <c r="R250" s="83">
        <v>7.67</v>
      </c>
      <c r="S250" s="84">
        <f>[1]Native!M70</f>
        <v>11.65</v>
      </c>
      <c r="T250" s="66">
        <f>[1]Native!N70</f>
        <v>10.48</v>
      </c>
      <c r="U250" s="67">
        <f>[1]Native!O70</f>
        <v>9.5299999999999994</v>
      </c>
      <c r="V250" s="68">
        <f>[1]Native!P70</f>
        <v>13.07</v>
      </c>
      <c r="W250" s="68">
        <f>[1]Native!Q70</f>
        <v>13.93</v>
      </c>
      <c r="X250" s="68">
        <v>14.78</v>
      </c>
      <c r="Y250" s="68">
        <v>16.97</v>
      </c>
      <c r="Z250" s="68">
        <v>14.71</v>
      </c>
      <c r="AA250" s="68">
        <v>15.94</v>
      </c>
      <c r="AB250" s="68">
        <v>16.91</v>
      </c>
      <c r="AC250" s="68">
        <v>17.62</v>
      </c>
      <c r="AD250" s="68">
        <v>18.22</v>
      </c>
      <c r="AE250" s="68">
        <v>19.170000000000002</v>
      </c>
      <c r="AF250" s="68">
        <v>19.11</v>
      </c>
      <c r="AG250" s="69">
        <v>19.64</v>
      </c>
      <c r="AH250" s="70">
        <v>19.97</v>
      </c>
      <c r="AI250" s="70">
        <v>20.05</v>
      </c>
      <c r="AJ250" s="70">
        <v>20.27</v>
      </c>
      <c r="AK250" s="8">
        <f t="shared" si="49"/>
        <v>59</v>
      </c>
      <c r="AL250" s="8">
        <f t="shared" si="50"/>
        <v>60</v>
      </c>
      <c r="AM250" s="85">
        <f t="shared" si="51"/>
        <v>57</v>
      </c>
      <c r="AN250" s="23">
        <f t="shared" si="52"/>
        <v>58</v>
      </c>
      <c r="AO250" s="85">
        <f t="shared" si="41"/>
        <v>84</v>
      </c>
      <c r="AP250" s="72">
        <f t="shared" si="42"/>
        <v>98</v>
      </c>
      <c r="AQ250" s="71">
        <f t="shared" si="43"/>
        <v>90</v>
      </c>
      <c r="AR250" s="71">
        <f t="shared" si="43"/>
        <v>55</v>
      </c>
      <c r="AS250" s="71">
        <f t="shared" si="47"/>
        <v>84</v>
      </c>
      <c r="AT250" s="71">
        <f t="shared" si="48"/>
        <v>76</v>
      </c>
      <c r="AU250" s="71">
        <f t="shared" si="44"/>
        <v>70</v>
      </c>
      <c r="AV250" s="72">
        <f t="shared" si="45"/>
        <v>94</v>
      </c>
      <c r="AW250" s="72">
        <f>ROUND(W250/VLOOKUP($C250,CapRate,13),0)</f>
        <v>99</v>
      </c>
      <c r="AX250" s="122">
        <f>IF(ROUND(X250/VLOOKUP($C250,CapRate,14),0)&gt;10,X250/VLOOKUP($C250,CapRate,14),10)</f>
        <v>105.04619758351102</v>
      </c>
      <c r="AY250" s="122">
        <f>IF(ROUND(Y250/VLOOKUP($C250,CapRate,15),0)&gt;10,Y250/VLOOKUP($C250,CapRate,15),10)</f>
        <v>119.84463276836158</v>
      </c>
      <c r="AZ250" s="122">
        <f>IF(ROUND(Z250/VLOOKUP($C250,CapRate,16),0)&gt;10,Z250/VLOOKUP($C250,CapRate,16),10)</f>
        <v>103.66455250176182</v>
      </c>
      <c r="BA250" s="122">
        <f>IF(ROUND(AA250/VLOOKUP($C250,CapRate,17),0)&gt;10,AA250/VLOOKUP($C250,CapRate,17),10)</f>
        <v>111.54653603918824</v>
      </c>
      <c r="BB250" s="122">
        <f>IF(ROUND(AB250/VLOOKUP($C250,CapRate,18),0)&gt;10,AB250/VLOOKUP($C250,CapRate,18),10)</f>
        <v>117.83972125435541</v>
      </c>
      <c r="BC250" s="122">
        <f>IF(ROUND(AC250/VLOOKUP($C250,CapRate,19),0)&gt;10,AC250/VLOOKUP($C250,CapRate,19),10)</f>
        <v>122.53129346314326</v>
      </c>
      <c r="BD250" s="122">
        <f>IF(ROUND(AD250/VLOOKUP($C250,CapRate,20),0)&gt;10,AD250/VLOOKUP($C250,CapRate,20),10)</f>
        <v>126.52777777777779</v>
      </c>
      <c r="BE250" s="122">
        <f>IF(ROUND(AE250/VLOOKUP($C250,CapRate,21),0)&gt;10,AE250/VLOOKUP($C250,CapRate,21),10)</f>
        <v>133.21751216122308</v>
      </c>
      <c r="BF250" s="122">
        <f>IF(ROUND(AF250/VLOOKUP($C250,CapRate,22),0)&gt;10,AF250/VLOOKUP($C250,CapRate,22),10)</f>
        <v>132.89290681502084</v>
      </c>
      <c r="BG250" s="122">
        <f>IF(ROUND(AG250/VLOOKUP($C250,CapRate,23),0)&gt;10,AG250/VLOOKUP($C250,CapRate,23),10)</f>
        <v>136.86411149825784</v>
      </c>
      <c r="BH250" s="122">
        <f>IF(ROUND(AH250/VLOOKUP($C250,CapRate,24),0)&gt;10,AH250/VLOOKUP($C250,CapRate,24),10)</f>
        <v>139.35799023028611</v>
      </c>
      <c r="BI250" s="122">
        <f>IF(ROUND(AI250/VLOOKUP($C250,CapRate,25),0)&gt;10,AI250/VLOOKUP($C250,CapRate,25),10)</f>
        <v>140.40616246498598</v>
      </c>
      <c r="BJ250" s="122">
        <f>IF(ROUND(AJ250/VLOOKUP($C250,CapRate,26),0)&gt;10,AJ250/VLOOKUP($C250,CapRate,26),10)</f>
        <v>142.44553759662682</v>
      </c>
      <c r="BK250" s="75">
        <f t="shared" si="46"/>
        <v>1.4524826373980559E-2</v>
      </c>
      <c r="BL250" s="76"/>
      <c r="BM250" s="219">
        <f>BK250</f>
        <v>1.4524826373980559E-2</v>
      </c>
      <c r="BN250" s="220"/>
      <c r="BO250" s="220"/>
      <c r="BP250" s="220"/>
    </row>
    <row r="251" spans="1:69" ht="15.9" customHeight="1">
      <c r="A251" s="8"/>
      <c r="B251" s="22"/>
      <c r="C251" s="8" t="s">
        <v>129</v>
      </c>
      <c r="D251" s="23"/>
      <c r="E251" s="8" t="s">
        <v>85</v>
      </c>
      <c r="F251" s="188">
        <f>[1]AcreSummary!L72</f>
        <v>0.27232603187790105</v>
      </c>
      <c r="G251" s="25"/>
      <c r="H251" s="117"/>
      <c r="I251" s="57"/>
      <c r="J251" s="58">
        <f>[1]Tame!D39</f>
        <v>12.24</v>
      </c>
      <c r="K251" s="80">
        <f>[1]Tame!E39</f>
        <v>12.34</v>
      </c>
      <c r="L251" s="68">
        <f>[1]Tame!F39</f>
        <v>11.85</v>
      </c>
      <c r="M251" s="58">
        <f>[1]Tame!G39</f>
        <v>11.56</v>
      </c>
      <c r="N251" s="81">
        <f>[1]Tame!H39</f>
        <v>10.99</v>
      </c>
      <c r="O251" s="62">
        <v>5.56</v>
      </c>
      <c r="P251" s="81">
        <f>[1]Tame!I39</f>
        <v>10.210000000000001</v>
      </c>
      <c r="Q251" s="82">
        <f>[1]Tame!J39</f>
        <v>10.16</v>
      </c>
      <c r="R251" s="83">
        <v>10.16</v>
      </c>
      <c r="S251" s="84">
        <f>[1]Tame!K39</f>
        <v>9.52</v>
      </c>
      <c r="T251" s="66">
        <f>[1]Tame!L39</f>
        <v>3.85</v>
      </c>
      <c r="U251" s="67">
        <f>[1]Tame!M39</f>
        <v>3.75</v>
      </c>
      <c r="V251" s="68">
        <f>[1]Tame!N39</f>
        <v>3.86</v>
      </c>
      <c r="W251" s="68">
        <f>[1]Tame!O39</f>
        <v>3.6</v>
      </c>
      <c r="X251" s="68">
        <v>8.23</v>
      </c>
      <c r="Y251" s="68">
        <v>8.18</v>
      </c>
      <c r="Z251" s="68">
        <v>8.73</v>
      </c>
      <c r="AA251" s="68">
        <v>9.8000000000000007</v>
      </c>
      <c r="AB251" s="68">
        <v>10.86</v>
      </c>
      <c r="AC251" s="68">
        <v>0</v>
      </c>
      <c r="AD251" s="68">
        <v>13.86</v>
      </c>
      <c r="AE251" s="68">
        <v>16.25</v>
      </c>
      <c r="AF251" s="68">
        <v>17.829999999999998</v>
      </c>
      <c r="AG251" s="69">
        <v>19.670000000000002</v>
      </c>
      <c r="AH251" s="70">
        <v>21.39</v>
      </c>
      <c r="AI251" s="70">
        <v>22.31</v>
      </c>
      <c r="AJ251" s="70">
        <v>23.39</v>
      </c>
      <c r="AK251" s="8">
        <f>ROUND(J251/VLOOKUP($C251,CapRate,2),0)</f>
        <v>79</v>
      </c>
      <c r="AL251" s="8">
        <f>ROUND(K251/VLOOKUP($C251,CapRate,3),0)</f>
        <v>80</v>
      </c>
      <c r="AM251" s="85">
        <f>ROUND(L251/VLOOKUP($C251,CapRate,4),0)</f>
        <v>77</v>
      </c>
      <c r="AN251" s="23">
        <f>ROUND(M251/VLOOKUP($C251,CapRate,5),0)</f>
        <v>77</v>
      </c>
      <c r="AO251" s="85">
        <f t="shared" si="41"/>
        <v>39</v>
      </c>
      <c r="AP251" s="72">
        <f t="shared" si="42"/>
        <v>73</v>
      </c>
      <c r="AQ251" s="71">
        <f t="shared" si="43"/>
        <v>73</v>
      </c>
      <c r="AR251" s="71">
        <f t="shared" si="43"/>
        <v>73</v>
      </c>
      <c r="AS251" s="71">
        <f t="shared" si="47"/>
        <v>69</v>
      </c>
      <c r="AT251" s="71">
        <f t="shared" si="48"/>
        <v>28</v>
      </c>
      <c r="AU251" s="71">
        <f t="shared" si="44"/>
        <v>27</v>
      </c>
      <c r="AV251" s="72">
        <f>IF(ROUND(V251/VLOOKUP($C251,CapRate,12),0)&gt;AV250,V251/VLOOKUP($C251,CapRate,12),AV250)</f>
        <v>94</v>
      </c>
      <c r="AW251" s="72">
        <f>IF(ROUND(W251/VLOOKUP($C251,CapRate,13),0)&gt;AW250,W251/VLOOKUP($C251,CapRate,13),AW250)</f>
        <v>99</v>
      </c>
      <c r="AX251" s="72">
        <f>IF(ROUND(X251/VLOOKUP($C251,CapRate,14),0)&gt;AX250,X251/VLOOKUP($C251,CapRate,14),AX250)</f>
        <v>105.04619758351102</v>
      </c>
      <c r="AY251" s="72">
        <f>IF(ROUND(Y251/VLOOKUP($C251,CapRate,15),0)&gt;AY250,Y251/VLOOKUP($C251,CapRate,15),AY250)</f>
        <v>119.84463276836158</v>
      </c>
      <c r="AZ251" s="72">
        <f>IF(ROUND(Z251/VLOOKUP($C251,CapRate,16),0)&gt;AZ250,Z251/VLOOKUP($C251,CapRate,16),AZ250)</f>
        <v>103.66455250176182</v>
      </c>
      <c r="BA251" s="72">
        <f>IF(ROUND(AA251/VLOOKUP($C251,CapRate,17),0)&gt;BA250,AA251/VLOOKUP($C251,CapRate,17),BA250)</f>
        <v>111.54653603918824</v>
      </c>
      <c r="BB251" s="72">
        <f>IF(ROUND(AB251/VLOOKUP($C251,CapRate,18),0)&gt;BB250,AB251/VLOOKUP($C251,CapRate,18),BB250)</f>
        <v>117.83972125435541</v>
      </c>
      <c r="BC251" s="72">
        <f>IF(ROUND(AC251/VLOOKUP($C251,CapRate,19),0)&gt;BC250,AC251/VLOOKUP($C251,CapRate,19),BC250)</f>
        <v>122.53129346314326</v>
      </c>
      <c r="BD251" s="72">
        <f>IF(ROUND(AD251/VLOOKUP($C251,CapRate,20),0)&gt;BD250,AD251/VLOOKUP($C251,CapRate,20),BD250)</f>
        <v>126.52777777777779</v>
      </c>
      <c r="BE251" s="72">
        <f>IF(ROUND(AE251/VLOOKUP($C251,CapRate,21),0)&gt;BE250,AE251/VLOOKUP($C251,CapRate,21),BE250)</f>
        <v>133.21751216122308</v>
      </c>
      <c r="BF251" s="72">
        <f>IF(ROUND(AF251/VLOOKUP($C251,CapRate,22),0)&gt;BF250,AF251/VLOOKUP($C251,CapRate,22),BF250)</f>
        <v>132.89290681502084</v>
      </c>
      <c r="BG251" s="72">
        <f>IF(ROUND(AG251/VLOOKUP($C251,CapRate,23),0)&gt;BG250,AG251/VLOOKUP($C251,CapRate,23),BG250)</f>
        <v>137.07317073170734</v>
      </c>
      <c r="BH251" s="72">
        <f>IF(ROUND(AH251/VLOOKUP($C251,CapRate,24),0)&gt;BH250,AH251/VLOOKUP($C251,CapRate,24),BH250)</f>
        <v>149.26727145847872</v>
      </c>
      <c r="BI251" s="72">
        <f>IF(ROUND(AI251/VLOOKUP($C251,CapRate,25),0)&gt;BI250,AI251/VLOOKUP($C251,CapRate,25),BI250)</f>
        <v>156.23249299719885</v>
      </c>
      <c r="BJ251" s="72">
        <f>IF(ROUND(AJ251/VLOOKUP($C251,CapRate,26),0)&gt;BJ250,AJ251/VLOOKUP($C251,CapRate,26),BJ250)</f>
        <v>164.37104708362614</v>
      </c>
      <c r="BK251" s="87">
        <f t="shared" si="46"/>
        <v>5.209258285709617E-2</v>
      </c>
      <c r="BL251" s="76"/>
      <c r="BM251" s="77"/>
      <c r="BN251" s="77"/>
      <c r="BO251" s="77"/>
      <c r="BP251" s="77">
        <f>BK251</f>
        <v>5.209258285709617E-2</v>
      </c>
    </row>
    <row r="252" spans="1:69" ht="15.9" customHeight="1" thickBot="1">
      <c r="A252" s="8" t="s">
        <v>125</v>
      </c>
      <c r="B252" s="22"/>
      <c r="C252" s="90" t="s">
        <v>129</v>
      </c>
      <c r="D252" s="91"/>
      <c r="E252" s="90" t="s">
        <v>40</v>
      </c>
      <c r="F252" s="190">
        <f>[1]AcreSummary!J72</f>
        <v>0.7044237180886066</v>
      </c>
      <c r="G252" s="191"/>
      <c r="H252" s="94"/>
      <c r="I252" s="95">
        <f>[1]Dry!E72</f>
        <v>41.22</v>
      </c>
      <c r="J252" s="96">
        <f>[1]Dry!F72</f>
        <v>41.5</v>
      </c>
      <c r="K252" s="97">
        <f>[1]Dry!G72</f>
        <v>44.84</v>
      </c>
      <c r="L252" s="98">
        <f>[1]Dry!H72</f>
        <v>49.5</v>
      </c>
      <c r="M252" s="96">
        <f>[1]Dry!I72</f>
        <v>53.48</v>
      </c>
      <c r="N252" s="99">
        <f>[1]Dry!J72</f>
        <v>57.9</v>
      </c>
      <c r="O252" s="100">
        <v>57.47</v>
      </c>
      <c r="P252" s="99">
        <f>[1]Dry!K72</f>
        <v>59.18</v>
      </c>
      <c r="Q252" s="101">
        <f>[1]Dry!L72</f>
        <v>59.61</v>
      </c>
      <c r="R252" s="221">
        <f>Q252*0.95</f>
        <v>56.6295</v>
      </c>
      <c r="S252" s="103">
        <f>[1]Dry!N72</f>
        <v>60.03</v>
      </c>
      <c r="T252" s="104">
        <f>[1]Dry!O72</f>
        <v>60.15</v>
      </c>
      <c r="U252" s="105">
        <f>[1]Dry!P72</f>
        <v>58.49</v>
      </c>
      <c r="V252" s="98">
        <f>[1]Dry!Q72</f>
        <v>58.83</v>
      </c>
      <c r="W252" s="98">
        <f>[1]Dry!R72</f>
        <v>66.349999999999994</v>
      </c>
      <c r="X252" s="98">
        <f>[1]Dry!S72</f>
        <v>77.16</v>
      </c>
      <c r="Y252" s="98">
        <f>[1]Dry!T72</f>
        <v>91.4</v>
      </c>
      <c r="Z252" s="98">
        <v>108.2</v>
      </c>
      <c r="AA252" s="98">
        <v>127.76</v>
      </c>
      <c r="AB252" s="98">
        <v>146.16999999999999</v>
      </c>
      <c r="AC252" s="98">
        <v>162.91999999999999</v>
      </c>
      <c r="AD252" s="98">
        <v>175.69</v>
      </c>
      <c r="AE252" s="98">
        <v>185.96</v>
      </c>
      <c r="AF252" s="98">
        <v>192.17</v>
      </c>
      <c r="AG252" s="106">
        <v>195.26</v>
      </c>
      <c r="AH252" s="107">
        <v>188.84</v>
      </c>
      <c r="AI252" s="107">
        <v>173.48</v>
      </c>
      <c r="AJ252" s="107">
        <v>157.84</v>
      </c>
      <c r="AK252" s="90">
        <f t="shared" si="49"/>
        <v>268</v>
      </c>
      <c r="AL252" s="90">
        <f t="shared" si="50"/>
        <v>292</v>
      </c>
      <c r="AM252" s="108">
        <f t="shared" si="51"/>
        <v>320</v>
      </c>
      <c r="AN252" s="91">
        <f t="shared" si="52"/>
        <v>355</v>
      </c>
      <c r="AO252" s="108">
        <f t="shared" si="41"/>
        <v>400</v>
      </c>
      <c r="AP252" s="109">
        <f t="shared" si="42"/>
        <v>421</v>
      </c>
      <c r="AQ252" s="110">
        <f t="shared" si="43"/>
        <v>427</v>
      </c>
      <c r="AR252" s="222">
        <f t="shared" si="43"/>
        <v>406</v>
      </c>
      <c r="AS252" s="110">
        <f t="shared" si="47"/>
        <v>434</v>
      </c>
      <c r="AT252" s="110">
        <f t="shared" si="48"/>
        <v>437</v>
      </c>
      <c r="AU252" s="110">
        <f t="shared" si="44"/>
        <v>427</v>
      </c>
      <c r="AV252" s="109">
        <f t="shared" si="45"/>
        <v>421</v>
      </c>
      <c r="AW252" s="109">
        <f>ROUND(W252/VLOOKUP($C252,CapRate,13),0)</f>
        <v>472</v>
      </c>
      <c r="AX252" s="72">
        <f>ROUND(X252/VLOOKUP($C252,CapRate,14),0)</f>
        <v>548</v>
      </c>
      <c r="AY252" s="72">
        <f>ROUND(Y252/VLOOKUP($C252,CapRate,15),0)</f>
        <v>645</v>
      </c>
      <c r="AZ252" s="72">
        <f>ROUND(Z252/VLOOKUP($C252,CapRate,16),0)</f>
        <v>763</v>
      </c>
      <c r="BA252" s="72">
        <f>ROUND(AA252/VLOOKUP($C252,CapRate,17),0)</f>
        <v>894</v>
      </c>
      <c r="BB252" s="72">
        <f>ROUND(AB252/VLOOKUP($C252,CapRate,18),0)</f>
        <v>1019</v>
      </c>
      <c r="BC252" s="72">
        <f>ROUND(AC252/VLOOKUP($C252,CapRate,19),0)</f>
        <v>1133</v>
      </c>
      <c r="BD252" s="72">
        <f>ROUND(AD252/VLOOKUP($C252,CapRate,20),0)</f>
        <v>1220</v>
      </c>
      <c r="BE252" s="72">
        <f>ROUND(AE252/VLOOKUP($C252,CapRate,21),0)</f>
        <v>1292</v>
      </c>
      <c r="BF252" s="72">
        <f>ROUND(AF252/VLOOKUP($C252,CapRate,22),0)</f>
        <v>1336</v>
      </c>
      <c r="BG252" s="72">
        <f>ROUND(AG252/VLOOKUP($C252,CapRate,23),0)</f>
        <v>1361</v>
      </c>
      <c r="BH252" s="72">
        <f>ROUND(AH252/VLOOKUP($C252,CapRate,24),0)</f>
        <v>1318</v>
      </c>
      <c r="BI252" s="72">
        <f>ROUND(AI252/VLOOKUP($C252,CapRate,25),0)</f>
        <v>1215</v>
      </c>
      <c r="BJ252" s="72">
        <f>ROUND(AJ252/VLOOKUP($C252,CapRate,26),0)</f>
        <v>1109</v>
      </c>
      <c r="BK252" s="87">
        <f t="shared" si="46"/>
        <v>-8.7242798353909468E-2</v>
      </c>
      <c r="BL252" s="114">
        <f>((F250*BK250)+(F251*BK251)+(F252*BK252))</f>
        <v>-4.7047967269628364E-2</v>
      </c>
      <c r="BM252" s="77"/>
      <c r="BN252" s="77">
        <f>BK252</f>
        <v>-8.7242798353909468E-2</v>
      </c>
      <c r="BO252" s="77"/>
      <c r="BP252" s="77"/>
    </row>
    <row r="253" spans="1:69" ht="15.9" customHeight="1" thickTop="1">
      <c r="A253" s="8" t="s">
        <v>125</v>
      </c>
      <c r="B253" s="22"/>
      <c r="C253" s="8" t="s">
        <v>130</v>
      </c>
      <c r="D253" s="23" t="s">
        <v>130</v>
      </c>
      <c r="E253" s="8" t="s">
        <v>39</v>
      </c>
      <c r="F253" s="188">
        <f>[1]AcreSummary!M73</f>
        <v>0.42797774998772709</v>
      </c>
      <c r="G253" s="25"/>
      <c r="H253" s="117"/>
      <c r="I253" s="57">
        <f>[1]Native!E71</f>
        <v>9.61</v>
      </c>
      <c r="J253" s="58">
        <f>[1]Native!F71</f>
        <v>9.27</v>
      </c>
      <c r="K253" s="80">
        <f>[1]Native!G71</f>
        <v>9.44</v>
      </c>
      <c r="L253" s="68">
        <f>[1]Native!H71</f>
        <v>9.18</v>
      </c>
      <c r="M253" s="58">
        <f>[1]Native!I71</f>
        <v>9.2799999999999994</v>
      </c>
      <c r="N253" s="81">
        <f>[1]Native!J71</f>
        <v>9.09</v>
      </c>
      <c r="O253" s="62">
        <v>8.93</v>
      </c>
      <c r="P253" s="81">
        <f>[1]Native!K71</f>
        <v>8.8000000000000007</v>
      </c>
      <c r="Q253" s="82">
        <f>[1]Native!L71</f>
        <v>8.68</v>
      </c>
      <c r="R253" s="83">
        <v>8.68</v>
      </c>
      <c r="S253" s="84">
        <f>[1]Native!M71</f>
        <v>8.66</v>
      </c>
      <c r="T253" s="66">
        <f>[1]Native!N71</f>
        <v>8.42</v>
      </c>
      <c r="U253" s="67">
        <f>[1]Native!O71</f>
        <v>8.1999999999999993</v>
      </c>
      <c r="V253" s="68">
        <f>[1]Native!P71</f>
        <v>9.48</v>
      </c>
      <c r="W253" s="68">
        <f>[1]Native!Q71</f>
        <v>9.33</v>
      </c>
      <c r="X253" s="68">
        <v>9.81</v>
      </c>
      <c r="Y253" s="68">
        <v>10.36</v>
      </c>
      <c r="Z253" s="68">
        <v>11.46</v>
      </c>
      <c r="AA253" s="68">
        <v>12.31</v>
      </c>
      <c r="AB253" s="68">
        <v>13.18</v>
      </c>
      <c r="AC253" s="68">
        <v>13.82</v>
      </c>
      <c r="AD253" s="68">
        <v>15.56</v>
      </c>
      <c r="AE253" s="68">
        <v>16.739999999999998</v>
      </c>
      <c r="AF253" s="68">
        <v>17.079999999999998</v>
      </c>
      <c r="AG253" s="69">
        <v>17.59</v>
      </c>
      <c r="AH253" s="70">
        <v>17.91</v>
      </c>
      <c r="AI253" s="70">
        <v>17.93</v>
      </c>
      <c r="AJ253" s="70">
        <v>18.11</v>
      </c>
      <c r="AK253" s="8">
        <f t="shared" si="49"/>
        <v>61</v>
      </c>
      <c r="AL253" s="8">
        <f t="shared" si="50"/>
        <v>63</v>
      </c>
      <c r="AM253" s="85">
        <f t="shared" si="51"/>
        <v>61</v>
      </c>
      <c r="AN253" s="23">
        <f t="shared" si="52"/>
        <v>63</v>
      </c>
      <c r="AO253" s="85">
        <f t="shared" si="41"/>
        <v>63</v>
      </c>
      <c r="AP253" s="72">
        <f t="shared" si="42"/>
        <v>63</v>
      </c>
      <c r="AQ253" s="71">
        <f t="shared" si="43"/>
        <v>62</v>
      </c>
      <c r="AR253" s="71">
        <f t="shared" si="43"/>
        <v>62</v>
      </c>
      <c r="AS253" s="71">
        <f t="shared" si="47"/>
        <v>62</v>
      </c>
      <c r="AT253" s="71">
        <f t="shared" si="48"/>
        <v>60</v>
      </c>
      <c r="AU253" s="71">
        <f t="shared" si="44"/>
        <v>58</v>
      </c>
      <c r="AV253" s="72">
        <f t="shared" si="45"/>
        <v>66</v>
      </c>
      <c r="AW253" s="72">
        <f>ROUND(W253/VLOOKUP($C253,CapRate,13),0)</f>
        <v>64</v>
      </c>
      <c r="AX253" s="122">
        <f>IF(ROUND(X253/VLOOKUP($C253,CapRate,14),0)&gt;10,X253/VLOOKUP($C253,CapRate,14),10)</f>
        <v>67.237834132967791</v>
      </c>
      <c r="AY253" s="122">
        <f>IF(ROUND(Y253/VLOOKUP($C253,CapRate,15),0)&gt;10,Y253/VLOOKUP($C253,CapRate,15),10)</f>
        <v>70.332654446707409</v>
      </c>
      <c r="AZ253" s="122">
        <f>IF(ROUND(Z253/VLOOKUP($C253,CapRate,16),0)&gt;10,Z253/VLOOKUP($C253,CapRate,16),10)</f>
        <v>77.642276422764226</v>
      </c>
      <c r="BA253" s="122">
        <f>IF(ROUND(AA253/VLOOKUP($C253,CapRate,17),0)&gt;10,AA253/VLOOKUP($C253,CapRate,17),10)</f>
        <v>82.784129119031604</v>
      </c>
      <c r="BB253" s="122">
        <f>IF(ROUND(AB253/VLOOKUP($C253,CapRate,18),0)&gt;10,AB253/VLOOKUP($C253,CapRate,18),10)</f>
        <v>88.278633623576695</v>
      </c>
      <c r="BC253" s="122">
        <f>IF(ROUND(AC253/VLOOKUP($C253,CapRate,19),0)&gt;10,AC253/VLOOKUP($C253,CapRate,19),10)</f>
        <v>92.194796531020685</v>
      </c>
      <c r="BD253" s="122">
        <f>IF(ROUND(AD253/VLOOKUP($C253,CapRate,20),0)&gt;10,AD253/VLOOKUP($C253,CapRate,20),10)</f>
        <v>103.45744680851064</v>
      </c>
      <c r="BE253" s="122">
        <f>IF(ROUND(AE253/VLOOKUP($C253,CapRate,21),0)&gt;10,AE253/VLOOKUP($C253,CapRate,21),10)</f>
        <v>111.08161911081618</v>
      </c>
      <c r="BF253" s="122">
        <f>IF(ROUND(AF253/VLOOKUP($C253,CapRate,22),0)&gt;10,AF253/VLOOKUP($C253,CapRate,22),10)</f>
        <v>113.26259946949602</v>
      </c>
      <c r="BG253" s="122">
        <f>IF(ROUND(AG253/VLOOKUP($C253,CapRate,23),0)&gt;10,AG253/VLOOKUP($C253,CapRate,23),10)</f>
        <v>116.64456233421751</v>
      </c>
      <c r="BH253" s="122">
        <f>IF(ROUND(AH253/VLOOKUP($C253,CapRate,24),0)&gt;10,AH253/VLOOKUP($C253,CapRate,24),10)</f>
        <v>118.76657824933687</v>
      </c>
      <c r="BI253" s="122">
        <f>IF(ROUND(AI253/VLOOKUP($C253,CapRate,25),0)&gt;10,AI253/VLOOKUP($C253,CapRate,25),10)</f>
        <v>119.05710491367861</v>
      </c>
      <c r="BJ253" s="122">
        <f>IF(ROUND(AJ253/VLOOKUP($C253,CapRate,26),0)&gt;10,AJ253/VLOOKUP($C253,CapRate,26),10)</f>
        <v>120.65289806795468</v>
      </c>
      <c r="BK253" s="75">
        <f t="shared" si="46"/>
        <v>1.3403594480422498E-2</v>
      </c>
      <c r="BL253" s="76"/>
      <c r="BM253" s="219">
        <f>BK253</f>
        <v>1.3403594480422498E-2</v>
      </c>
      <c r="BN253" s="220"/>
      <c r="BO253" s="220"/>
      <c r="BP253" s="220"/>
    </row>
    <row r="254" spans="1:69" ht="15.9" customHeight="1">
      <c r="A254" s="8"/>
      <c r="B254" s="22"/>
      <c r="C254" s="8" t="s">
        <v>130</v>
      </c>
      <c r="D254" s="23"/>
      <c r="E254" s="8" t="s">
        <v>85</v>
      </c>
      <c r="F254" s="188">
        <f>[1]AcreSummary!L73</f>
        <v>0.24257244027284139</v>
      </c>
      <c r="G254" s="25"/>
      <c r="H254" s="117"/>
      <c r="I254" s="57"/>
      <c r="J254" s="58">
        <f>[1]Tame!D40</f>
        <v>12.08</v>
      </c>
      <c r="K254" s="80">
        <f>[1]Tame!E40</f>
        <v>12.24</v>
      </c>
      <c r="L254" s="68">
        <f>[1]Tame!F40</f>
        <v>11.82</v>
      </c>
      <c r="M254" s="58">
        <f>[1]Tame!G40</f>
        <v>11.59</v>
      </c>
      <c r="N254" s="81">
        <f>[1]Tame!H40</f>
        <v>11.04</v>
      </c>
      <c r="O254" s="62">
        <v>10.96</v>
      </c>
      <c r="P254" s="81">
        <f>[1]Tame!I40</f>
        <v>10.29</v>
      </c>
      <c r="Q254" s="82">
        <f>[1]Tame!J40</f>
        <v>10.210000000000001</v>
      </c>
      <c r="R254" s="83">
        <v>10.210000000000001</v>
      </c>
      <c r="S254" s="84">
        <f>[1]Tame!K40</f>
        <v>9.8699999999999992</v>
      </c>
      <c r="T254" s="66">
        <f>[1]Tame!L40</f>
        <v>9.15</v>
      </c>
      <c r="U254" s="67">
        <f>[1]Tame!M40</f>
        <v>8.85</v>
      </c>
      <c r="V254" s="68">
        <f>[1]Tame!N40</f>
        <v>8.9600000000000009</v>
      </c>
      <c r="W254" s="68">
        <f>[1]Tame!O40</f>
        <v>8.27</v>
      </c>
      <c r="X254" s="68">
        <v>8.1199999999999992</v>
      </c>
      <c r="Y254" s="68">
        <v>7.95</v>
      </c>
      <c r="Z254" s="68">
        <v>8.4700000000000006</v>
      </c>
      <c r="AA254" s="68">
        <v>9.4700000000000006</v>
      </c>
      <c r="AB254" s="68">
        <v>10.53</v>
      </c>
      <c r="AC254" s="68">
        <v>0</v>
      </c>
      <c r="AD254" s="68">
        <v>13.54</v>
      </c>
      <c r="AE254" s="68">
        <v>13.88</v>
      </c>
      <c r="AF254" s="68">
        <v>17.47</v>
      </c>
      <c r="AG254" s="69">
        <v>19.29</v>
      </c>
      <c r="AH254" s="70">
        <v>21.01</v>
      </c>
      <c r="AI254" s="70">
        <v>21.91</v>
      </c>
      <c r="AJ254" s="70">
        <v>22.98</v>
      </c>
      <c r="AK254" s="8">
        <f>ROUND(J254/VLOOKUP($C254,CapRate,2),0)</f>
        <v>80</v>
      </c>
      <c r="AL254" s="8">
        <f>ROUND(K254/VLOOKUP($C254,CapRate,3),0)</f>
        <v>82</v>
      </c>
      <c r="AM254" s="85">
        <f>ROUND(L254/VLOOKUP($C254,CapRate,4),0)</f>
        <v>78</v>
      </c>
      <c r="AN254" s="23">
        <f>ROUND(M254/VLOOKUP($C254,CapRate,5),0)</f>
        <v>78</v>
      </c>
      <c r="AO254" s="85">
        <f t="shared" si="41"/>
        <v>77</v>
      </c>
      <c r="AP254" s="72">
        <f t="shared" si="42"/>
        <v>73</v>
      </c>
      <c r="AQ254" s="71">
        <f t="shared" si="43"/>
        <v>73</v>
      </c>
      <c r="AR254" s="71">
        <f t="shared" si="43"/>
        <v>73</v>
      </c>
      <c r="AS254" s="71">
        <f t="shared" si="47"/>
        <v>70</v>
      </c>
      <c r="AT254" s="71">
        <f t="shared" si="48"/>
        <v>65</v>
      </c>
      <c r="AU254" s="71">
        <f t="shared" si="44"/>
        <v>63</v>
      </c>
      <c r="AV254" s="72">
        <f>IF(ROUND(V254/VLOOKUP($C254,CapRate,12),0)&gt;AV253,V254/VLOOKUP($C254,CapRate,12),AV253)</f>
        <v>66</v>
      </c>
      <c r="AW254" s="72">
        <f>IF(ROUND(W254/VLOOKUP($C254,CapRate,13),0)&gt;AW253,W254/VLOOKUP($C254,CapRate,13),AW253)</f>
        <v>64</v>
      </c>
      <c r="AX254" s="72">
        <f>IF(ROUND(X254/VLOOKUP($C254,CapRate,14),0)&gt;AX253,X254/VLOOKUP($C254,CapRate,14),AX253)</f>
        <v>67.237834132967791</v>
      </c>
      <c r="AY254" s="72">
        <f>IF(ROUND(Y254/VLOOKUP($C254,CapRate,15),0)&gt;AY253,Y254/VLOOKUP($C254,CapRate,15),AY253)</f>
        <v>70.332654446707409</v>
      </c>
      <c r="AZ254" s="72">
        <f>IF(ROUND(Z254/VLOOKUP($C254,CapRate,16),0)&gt;AZ253,Z254/VLOOKUP($C254,CapRate,16),AZ253)</f>
        <v>77.642276422764226</v>
      </c>
      <c r="BA254" s="72">
        <f>IF(ROUND(AA254/VLOOKUP($C254,CapRate,17),0)&gt;BA253,AA254/VLOOKUP($C254,CapRate,17),BA253)</f>
        <v>82.784129119031604</v>
      </c>
      <c r="BB254" s="72">
        <f>IF(ROUND(AB254/VLOOKUP($C254,CapRate,18),0)&gt;BB253,AB254/VLOOKUP($C254,CapRate,18),BB253)</f>
        <v>88.278633623576695</v>
      </c>
      <c r="BC254" s="72">
        <f>IF(ROUND(AC254/VLOOKUP($C254,CapRate,19),0)&gt;BC253,AC254/VLOOKUP($C254,CapRate,19),BC253)</f>
        <v>92.194796531020685</v>
      </c>
      <c r="BD254" s="72">
        <f>IF(ROUND(AD254/VLOOKUP($C254,CapRate,20),0)&gt;BD253,AD254/VLOOKUP($C254,CapRate,20),BD253)</f>
        <v>103.45744680851064</v>
      </c>
      <c r="BE254" s="72">
        <f>IF(ROUND(AE254/VLOOKUP($C254,CapRate,21),0)&gt;BE253,AE254/VLOOKUP($C254,CapRate,21),BE253)</f>
        <v>111.08161911081618</v>
      </c>
      <c r="BF254" s="72">
        <f>IF(ROUND(AF254/VLOOKUP($C254,CapRate,22),0)&gt;BF253,AF254/VLOOKUP($C254,CapRate,22),BF253)</f>
        <v>115.84880636604774</v>
      </c>
      <c r="BG254" s="72">
        <f>IF(ROUND(AG254/VLOOKUP($C254,CapRate,23),0)&gt;BG253,AG254/VLOOKUP($C254,CapRate,23),BG253)</f>
        <v>127.91777188328913</v>
      </c>
      <c r="BH254" s="72">
        <f>IF(ROUND(AH254/VLOOKUP($C254,CapRate,24),0)&gt;BH253,AH254/VLOOKUP($C254,CapRate,24),BH253)</f>
        <v>139.32360742705572</v>
      </c>
      <c r="BI254" s="72">
        <f>IF(ROUND(AI254/VLOOKUP($C254,CapRate,25),0)&gt;BI253,AI254/VLOOKUP($C254,CapRate,25),BI253)</f>
        <v>145.48472775564409</v>
      </c>
      <c r="BJ254" s="72">
        <f>IF(ROUND(AJ254/VLOOKUP($C254,CapRate,26),0)&gt;BJ253,AJ254/VLOOKUP($C254,CapRate,26),BJ253)</f>
        <v>153.09793471019319</v>
      </c>
      <c r="BK254" s="87">
        <f t="shared" si="46"/>
        <v>5.2329939176407825E-2</v>
      </c>
      <c r="BL254" s="76"/>
      <c r="BM254" s="77"/>
      <c r="BN254" s="77"/>
      <c r="BO254" s="77"/>
      <c r="BP254" s="77">
        <f>BK254</f>
        <v>5.2329939176407825E-2</v>
      </c>
    </row>
    <row r="255" spans="1:69" ht="15.9" customHeight="1" thickBot="1">
      <c r="A255" s="8" t="s">
        <v>125</v>
      </c>
      <c r="B255" s="22"/>
      <c r="C255" s="90" t="s">
        <v>130</v>
      </c>
      <c r="D255" s="91"/>
      <c r="E255" s="90" t="s">
        <v>40</v>
      </c>
      <c r="F255" s="190">
        <f>[1]AcreSummary!J73</f>
        <v>0.32797944047150701</v>
      </c>
      <c r="G255" s="191"/>
      <c r="H255" s="94"/>
      <c r="I255" s="95">
        <f>[1]Dry!E73</f>
        <v>26.34</v>
      </c>
      <c r="J255" s="96">
        <f>[1]Dry!F73</f>
        <v>25.24</v>
      </c>
      <c r="K255" s="97">
        <f>[1]Dry!G73</f>
        <v>25.81</v>
      </c>
      <c r="L255" s="98">
        <f>[1]Dry!H73</f>
        <v>27.14</v>
      </c>
      <c r="M255" s="96">
        <f>[1]Dry!I73</f>
        <v>28.74</v>
      </c>
      <c r="N255" s="99">
        <f>[1]Dry!J73</f>
        <v>30.63</v>
      </c>
      <c r="O255" s="100">
        <v>30.42</v>
      </c>
      <c r="P255" s="99">
        <f>[1]Dry!K73</f>
        <v>31.7</v>
      </c>
      <c r="Q255" s="101">
        <f>[1]Dry!L73</f>
        <v>32.950000000000003</v>
      </c>
      <c r="R255" s="221">
        <f>Q255*0.95</f>
        <v>31.302500000000002</v>
      </c>
      <c r="S255" s="103">
        <f>[1]Dry!N73</f>
        <v>33.15</v>
      </c>
      <c r="T255" s="104">
        <f>[1]Dry!O73</f>
        <v>33.130000000000003</v>
      </c>
      <c r="U255" s="105">
        <f>[1]Dry!P73</f>
        <v>31.97</v>
      </c>
      <c r="V255" s="98">
        <f>[1]Dry!Q73</f>
        <v>30.42</v>
      </c>
      <c r="W255" s="98">
        <f>[1]Dry!R73</f>
        <v>36.799999999999997</v>
      </c>
      <c r="X255" s="98">
        <f>[1]Dry!S73</f>
        <v>44.38</v>
      </c>
      <c r="Y255" s="98">
        <f>[1]Dry!T73</f>
        <v>53.03</v>
      </c>
      <c r="Z255" s="98">
        <v>63.95</v>
      </c>
      <c r="AA255" s="98">
        <v>75.17</v>
      </c>
      <c r="AB255" s="98">
        <v>98.69</v>
      </c>
      <c r="AC255" s="98">
        <v>109.67</v>
      </c>
      <c r="AD255" s="98">
        <v>115.14</v>
      </c>
      <c r="AE255" s="98">
        <v>118.48</v>
      </c>
      <c r="AF255" s="98">
        <v>118.07</v>
      </c>
      <c r="AG255" s="106">
        <v>116.37</v>
      </c>
      <c r="AH255" s="107">
        <v>107.09</v>
      </c>
      <c r="AI255" s="107">
        <v>91.21</v>
      </c>
      <c r="AJ255" s="107">
        <v>73.75</v>
      </c>
      <c r="AK255" s="90">
        <f t="shared" si="49"/>
        <v>167</v>
      </c>
      <c r="AL255" s="90">
        <f t="shared" si="50"/>
        <v>172</v>
      </c>
      <c r="AM255" s="108">
        <f t="shared" si="51"/>
        <v>179</v>
      </c>
      <c r="AN255" s="91">
        <f t="shared" si="52"/>
        <v>194</v>
      </c>
      <c r="AO255" s="108">
        <f t="shared" si="41"/>
        <v>215</v>
      </c>
      <c r="AP255" s="109">
        <f t="shared" si="42"/>
        <v>226</v>
      </c>
      <c r="AQ255" s="110">
        <f t="shared" si="43"/>
        <v>235</v>
      </c>
      <c r="AR255" s="222">
        <f t="shared" si="43"/>
        <v>223</v>
      </c>
      <c r="AS255" s="110">
        <f t="shared" si="47"/>
        <v>236</v>
      </c>
      <c r="AT255" s="110">
        <f t="shared" si="48"/>
        <v>236</v>
      </c>
      <c r="AU255" s="110">
        <f t="shared" si="44"/>
        <v>228</v>
      </c>
      <c r="AV255" s="109">
        <f t="shared" si="45"/>
        <v>211</v>
      </c>
      <c r="AW255" s="109">
        <f>ROUND(W255/VLOOKUP($C255,CapRate,13),0)</f>
        <v>253</v>
      </c>
      <c r="AX255" s="72">
        <f>ROUND(X255/VLOOKUP($C255,CapRate,14),0)</f>
        <v>304</v>
      </c>
      <c r="AY255" s="72">
        <f>ROUND(Y255/VLOOKUP($C255,CapRate,15),0)</f>
        <v>360</v>
      </c>
      <c r="AZ255" s="72">
        <f>ROUND(Z255/VLOOKUP($C255,CapRate,16),0)</f>
        <v>433</v>
      </c>
      <c r="BA255" s="72">
        <f>ROUND(AA255/VLOOKUP($C255,CapRate,17),0)</f>
        <v>506</v>
      </c>
      <c r="BB255" s="72">
        <f>ROUND(AB255/VLOOKUP($C255,CapRate,18),0)</f>
        <v>661</v>
      </c>
      <c r="BC255" s="72">
        <f>ROUND(AC255/VLOOKUP($C255,CapRate,19),0)</f>
        <v>732</v>
      </c>
      <c r="BD255" s="72">
        <f>ROUND(AD255/VLOOKUP($C255,CapRate,20),0)</f>
        <v>766</v>
      </c>
      <c r="BE255" s="72">
        <f>ROUND(AE255/VLOOKUP($C255,CapRate,21),0)</f>
        <v>786</v>
      </c>
      <c r="BF255" s="72">
        <f>ROUND(AF255/VLOOKUP($C255,CapRate,22),0)</f>
        <v>783</v>
      </c>
      <c r="BG255" s="72">
        <f>ROUND(AG255/VLOOKUP($C255,CapRate,23),0)</f>
        <v>772</v>
      </c>
      <c r="BH255" s="72">
        <f>ROUND(AH255/VLOOKUP($C255,CapRate,24),0)</f>
        <v>710</v>
      </c>
      <c r="BI255" s="72">
        <f>ROUND(AI255/VLOOKUP($C255,CapRate,25),0)</f>
        <v>606</v>
      </c>
      <c r="BJ255" s="72">
        <f>ROUND(AJ255/VLOOKUP($C255,CapRate,26),0)</f>
        <v>491</v>
      </c>
      <c r="BK255" s="87">
        <f t="shared" si="46"/>
        <v>-0.18976897689768979</v>
      </c>
      <c r="BL255" s="114">
        <f>((F253*BK253)+(F254*BK254)+(F255*BK255))</f>
        <v>-4.381008160892489E-2</v>
      </c>
      <c r="BM255" s="77"/>
      <c r="BN255" s="77">
        <f>BK255</f>
        <v>-0.18976897689768979</v>
      </c>
      <c r="BO255" s="77"/>
      <c r="BP255" s="77"/>
    </row>
    <row r="256" spans="1:69" ht="15.9" customHeight="1" thickTop="1">
      <c r="A256" s="8" t="s">
        <v>125</v>
      </c>
      <c r="B256" s="22"/>
      <c r="C256" s="8" t="s">
        <v>131</v>
      </c>
      <c r="D256" s="23" t="s">
        <v>131</v>
      </c>
      <c r="E256" s="8" t="s">
        <v>39</v>
      </c>
      <c r="F256" s="188">
        <f>[1]AcreSummary!M74</f>
        <v>0.27782574179684993</v>
      </c>
      <c r="G256" s="25"/>
      <c r="H256" s="117"/>
      <c r="I256" s="57">
        <f>[1]Native!E72</f>
        <v>7.84</v>
      </c>
      <c r="J256" s="58">
        <f>[1]Native!F72</f>
        <v>8.1999999999999993</v>
      </c>
      <c r="K256" s="80">
        <f>[1]Native!G72</f>
        <v>8.42</v>
      </c>
      <c r="L256" s="68">
        <f>[1]Native!H72</f>
        <v>8.25</v>
      </c>
      <c r="M256" s="58">
        <f>[1]Native!I72</f>
        <v>8.4</v>
      </c>
      <c r="N256" s="81">
        <f>[1]Native!J72</f>
        <v>8.3000000000000007</v>
      </c>
      <c r="O256" s="62">
        <v>5.95</v>
      </c>
      <c r="P256" s="81">
        <f>[1]Native!K72</f>
        <v>9.44</v>
      </c>
      <c r="Q256" s="82">
        <f>[1]Native!L72</f>
        <v>9.4</v>
      </c>
      <c r="R256" s="83">
        <v>8.08</v>
      </c>
      <c r="S256" s="84">
        <f>[1]Native!M72</f>
        <v>9.4600000000000009</v>
      </c>
      <c r="T256" s="66">
        <f>[1]Native!N72</f>
        <v>9.2899999999999991</v>
      </c>
      <c r="U256" s="67">
        <f>[1]Native!O72</f>
        <v>9.0500000000000007</v>
      </c>
      <c r="V256" s="68">
        <f>[1]Native!P72</f>
        <v>9.76</v>
      </c>
      <c r="W256" s="68">
        <f>[1]Native!Q72</f>
        <v>9.57</v>
      </c>
      <c r="X256" s="68">
        <v>9.9700000000000006</v>
      </c>
      <c r="Y256" s="68">
        <v>10.5</v>
      </c>
      <c r="Z256" s="68">
        <v>11.55</v>
      </c>
      <c r="AA256" s="68">
        <v>12.35</v>
      </c>
      <c r="AB256" s="68">
        <v>13.58</v>
      </c>
      <c r="AC256" s="68">
        <v>14.23</v>
      </c>
      <c r="AD256" s="68">
        <v>15.93</v>
      </c>
      <c r="AE256" s="68">
        <v>17.079999999999998</v>
      </c>
      <c r="AF256" s="68">
        <v>17.5</v>
      </c>
      <c r="AG256" s="69">
        <v>18.010000000000002</v>
      </c>
      <c r="AH256" s="70">
        <v>18.34</v>
      </c>
      <c r="AI256" s="70">
        <v>18.38</v>
      </c>
      <c r="AJ256" s="70">
        <v>18.559999999999999</v>
      </c>
      <c r="AK256" s="8">
        <f t="shared" si="49"/>
        <v>54</v>
      </c>
      <c r="AL256" s="8">
        <f t="shared" si="50"/>
        <v>56</v>
      </c>
      <c r="AM256" s="85">
        <f t="shared" si="51"/>
        <v>54</v>
      </c>
      <c r="AN256" s="23">
        <f t="shared" si="52"/>
        <v>56</v>
      </c>
      <c r="AO256" s="85">
        <f t="shared" si="41"/>
        <v>41</v>
      </c>
      <c r="AP256" s="72">
        <f t="shared" si="42"/>
        <v>66</v>
      </c>
      <c r="AQ256" s="71">
        <f t="shared" si="43"/>
        <v>65</v>
      </c>
      <c r="AR256" s="71">
        <f t="shared" si="43"/>
        <v>56</v>
      </c>
      <c r="AS256" s="71">
        <f t="shared" si="47"/>
        <v>66</v>
      </c>
      <c r="AT256" s="71">
        <f t="shared" si="48"/>
        <v>64</v>
      </c>
      <c r="AU256" s="71">
        <f t="shared" si="44"/>
        <v>63</v>
      </c>
      <c r="AV256" s="72">
        <f t="shared" si="45"/>
        <v>67</v>
      </c>
      <c r="AW256" s="72">
        <f>ROUND(W256/VLOOKUP($C256,CapRate,13),0)</f>
        <v>66</v>
      </c>
      <c r="AX256" s="122">
        <f>IF(ROUND(X256/VLOOKUP($C256,CapRate,14),0)&gt;10,X256/VLOOKUP($C256,CapRate,14),10)</f>
        <v>68.054607508532428</v>
      </c>
      <c r="AY256" s="122">
        <f>IF(ROUND(Y256/VLOOKUP($C256,CapRate,15),0)&gt;10,Y256/VLOOKUP($C256,CapRate,15),10)</f>
        <v>71.090047393364927</v>
      </c>
      <c r="AZ256" s="122">
        <f>IF(ROUND(Z256/VLOOKUP($C256,CapRate,16),0)&gt;10,Z256/VLOOKUP($C256,CapRate,16),10)</f>
        <v>78.040540540540547</v>
      </c>
      <c r="BA256" s="122">
        <f>IF(ROUND(AA256/VLOOKUP($C256,CapRate,17),0)&gt;10,AA256/VLOOKUP($C256,CapRate,17),10)</f>
        <v>82.885906040268452</v>
      </c>
      <c r="BB256" s="122">
        <f>IF(ROUND(AB256/VLOOKUP($C256,CapRate,18),0)&gt;10,AB256/VLOOKUP($C256,CapRate,18),10)</f>
        <v>90.775401069518708</v>
      </c>
      <c r="BC256" s="122">
        <f>IF(ROUND(AC256/VLOOKUP($C256,CapRate,19),0)&gt;10,AC256/VLOOKUP($C256,CapRate,19),10)</f>
        <v>94.740346205059922</v>
      </c>
      <c r="BD256" s="122">
        <f>IF(ROUND(AD256/VLOOKUP($C256,CapRate,20),0)&gt;10,AD256/VLOOKUP($C256,CapRate,20),10)</f>
        <v>105.70670205706702</v>
      </c>
      <c r="BE256" s="122">
        <f>IF(ROUND(AE256/VLOOKUP($C256,CapRate,21),0)&gt;10,AE256/VLOOKUP($C256,CapRate,21),10)</f>
        <v>113.03772336201189</v>
      </c>
      <c r="BF256" s="122">
        <f>IF(ROUND(AF256/VLOOKUP($C256,CapRate,22),0)&gt;10,AF256/VLOOKUP($C256,CapRate,22),10)</f>
        <v>115.81733951025809</v>
      </c>
      <c r="BG256" s="122">
        <f>IF(ROUND(AG256/VLOOKUP($C256,CapRate,23),0)&gt;10,AG256/VLOOKUP($C256,CapRate,23),10)</f>
        <v>119.19258769027134</v>
      </c>
      <c r="BH256" s="122">
        <f>IF(ROUND(AH256/VLOOKUP($C256,CapRate,24),0)&gt;10,AH256/VLOOKUP($C256,CapRate,24),10)</f>
        <v>121.37657180675049</v>
      </c>
      <c r="BI256" s="122">
        <f>IF(ROUND(AI256/VLOOKUP($C256,CapRate,25),0)&gt;10,AI256/VLOOKUP($C256,CapRate,25),10)</f>
        <v>121.80251822398938</v>
      </c>
      <c r="BJ256" s="122">
        <f>IF(ROUND(AJ256/VLOOKUP($C256,CapRate,26),0)&gt;10,AJ256/VLOOKUP($C256,CapRate,26),10)</f>
        <v>123.56857523302263</v>
      </c>
      <c r="BK256" s="75">
        <f t="shared" si="46"/>
        <v>1.449934726132307E-2</v>
      </c>
      <c r="BL256" s="76"/>
      <c r="BM256" s="219">
        <f>BK256</f>
        <v>1.449934726132307E-2</v>
      </c>
      <c r="BN256" s="220"/>
      <c r="BO256" s="220"/>
      <c r="BP256" s="220"/>
    </row>
    <row r="257" spans="1:68" ht="15.9" customHeight="1">
      <c r="A257" s="8"/>
      <c r="B257" s="22"/>
      <c r="C257" s="8" t="s">
        <v>131</v>
      </c>
      <c r="D257" s="23"/>
      <c r="E257" s="8" t="s">
        <v>85</v>
      </c>
      <c r="F257" s="188">
        <f>[1]AcreSummary!L74</f>
        <v>0.37122347623522783</v>
      </c>
      <c r="G257" s="25"/>
      <c r="H257" s="117"/>
      <c r="I257" s="57"/>
      <c r="J257" s="58">
        <f>[1]Tame!D41</f>
        <v>11.97</v>
      </c>
      <c r="K257" s="80">
        <f>[1]Tame!E41</f>
        <v>12.14</v>
      </c>
      <c r="L257" s="68">
        <f>[1]Tame!F41</f>
        <v>11.72</v>
      </c>
      <c r="M257" s="58">
        <f>[1]Tame!G41</f>
        <v>11.51</v>
      </c>
      <c r="N257" s="81">
        <f>[1]Tame!H41</f>
        <v>11.03</v>
      </c>
      <c r="O257" s="62">
        <v>10.78</v>
      </c>
      <c r="P257" s="81">
        <f>[1]Tame!I41</f>
        <v>10.36</v>
      </c>
      <c r="Q257" s="82">
        <f>[1]Tame!J41</f>
        <v>10.33</v>
      </c>
      <c r="R257" s="83">
        <v>10.33</v>
      </c>
      <c r="S257" s="84">
        <f>[1]Tame!K41</f>
        <v>10.07</v>
      </c>
      <c r="T257" s="66">
        <f>[1]Tame!L41</f>
        <v>9.48</v>
      </c>
      <c r="U257" s="67">
        <f>[1]Tame!M41</f>
        <v>9.3000000000000007</v>
      </c>
      <c r="V257" s="68">
        <f>[1]Tame!N41</f>
        <v>9.09</v>
      </c>
      <c r="W257" s="68">
        <f>[1]Tame!O41</f>
        <v>8.3000000000000007</v>
      </c>
      <c r="X257" s="68">
        <v>8.5</v>
      </c>
      <c r="Y257" s="68">
        <v>7.78</v>
      </c>
      <c r="Z257" s="68">
        <v>8.2200000000000006</v>
      </c>
      <c r="AA257" s="68">
        <v>9.1300000000000008</v>
      </c>
      <c r="AB257" s="68">
        <v>10.17</v>
      </c>
      <c r="AC257" s="68">
        <v>0</v>
      </c>
      <c r="AD257" s="68">
        <v>13.44</v>
      </c>
      <c r="AE257" s="68">
        <v>15.51</v>
      </c>
      <c r="AF257" s="68">
        <v>17.100000000000001</v>
      </c>
      <c r="AG257" s="69">
        <v>18.899999999999999</v>
      </c>
      <c r="AH257" s="70">
        <v>20.6</v>
      </c>
      <c r="AI257" s="70">
        <v>21.49</v>
      </c>
      <c r="AJ257" s="70">
        <v>22.54</v>
      </c>
      <c r="AK257" s="8">
        <f>ROUND(J257/VLOOKUP($C257,CapRate,2),0)</f>
        <v>79</v>
      </c>
      <c r="AL257" s="8">
        <f>ROUND(K257/VLOOKUP($C257,CapRate,3),0)</f>
        <v>80</v>
      </c>
      <c r="AM257" s="85">
        <f>ROUND(L257/VLOOKUP($C257,CapRate,4),0)</f>
        <v>77</v>
      </c>
      <c r="AN257" s="23">
        <f>ROUND(M257/VLOOKUP($C257,CapRate,5),0)</f>
        <v>77</v>
      </c>
      <c r="AO257" s="85">
        <f t="shared" si="41"/>
        <v>75</v>
      </c>
      <c r="AP257" s="72">
        <f t="shared" si="42"/>
        <v>72</v>
      </c>
      <c r="AQ257" s="71">
        <f t="shared" si="43"/>
        <v>72</v>
      </c>
      <c r="AR257" s="71">
        <f t="shared" si="43"/>
        <v>72</v>
      </c>
      <c r="AS257" s="71">
        <f t="shared" si="47"/>
        <v>70</v>
      </c>
      <c r="AT257" s="71">
        <f t="shared" si="48"/>
        <v>66</v>
      </c>
      <c r="AU257" s="71">
        <f t="shared" si="44"/>
        <v>65</v>
      </c>
      <c r="AV257" s="72">
        <f>IF(ROUND(V257/VLOOKUP($C257,CapRate,12),0)&gt;AV256,V257/VLOOKUP($C257,CapRate,12),AV256)</f>
        <v>67</v>
      </c>
      <c r="AW257" s="72">
        <f>IF(ROUND(W257/VLOOKUP($C257,CapRate,13),0)&gt;AW256,W257/VLOOKUP($C257,CapRate,13),AW256)</f>
        <v>66</v>
      </c>
      <c r="AX257" s="72">
        <f>IF(ROUND(X257/VLOOKUP($C257,CapRate,14),0)&gt;AX256,X257/VLOOKUP($C257,CapRate,14),AX256)</f>
        <v>68.054607508532428</v>
      </c>
      <c r="AY257" s="72">
        <f>IF(ROUND(Y257/VLOOKUP($C257,CapRate,15),0)&gt;AY256,Y257/VLOOKUP($C257,CapRate,15),AY256)</f>
        <v>71.090047393364927</v>
      </c>
      <c r="AZ257" s="72">
        <f>IF(ROUND(Z257/VLOOKUP($C257,CapRate,16),0)&gt;AZ256,Z257/VLOOKUP($C257,CapRate,16),AZ256)</f>
        <v>78.040540540540547</v>
      </c>
      <c r="BA257" s="72">
        <f>IF(ROUND(AA257/VLOOKUP($C257,CapRate,17),0)&gt;BA256,AA257/VLOOKUP($C257,CapRate,17),BA256)</f>
        <v>82.885906040268452</v>
      </c>
      <c r="BB257" s="72">
        <f>IF(ROUND(AB257/VLOOKUP($C257,CapRate,18),0)&gt;BB256,AB257/VLOOKUP($C257,CapRate,18),BB256)</f>
        <v>90.775401069518708</v>
      </c>
      <c r="BC257" s="72">
        <f>IF(ROUND(AC257/VLOOKUP($C257,CapRate,19),0)&gt;BC256,AC257/VLOOKUP($C257,CapRate,19),BC256)</f>
        <v>94.740346205059922</v>
      </c>
      <c r="BD257" s="72">
        <f>IF(ROUND(AD257/VLOOKUP($C257,CapRate,20),0)&gt;BD256,AD257/VLOOKUP($C257,CapRate,20),BD256)</f>
        <v>105.70670205706702</v>
      </c>
      <c r="BE257" s="72">
        <f>IF(ROUND(AE257/VLOOKUP($C257,CapRate,21),0)&gt;BE256,AE257/VLOOKUP($C257,CapRate,21),BE256)</f>
        <v>113.03772336201189</v>
      </c>
      <c r="BF257" s="72">
        <f>IF(ROUND(AF257/VLOOKUP($C257,CapRate,22),0)&gt;BF256,AF257/VLOOKUP($C257,CapRate,22),BF256)</f>
        <v>115.81733951025809</v>
      </c>
      <c r="BG257" s="72">
        <f>IF(ROUND(AG257/VLOOKUP($C257,CapRate,23),0)&gt;BG256,AG257/VLOOKUP($C257,CapRate,23),BG256)</f>
        <v>125.08272667107873</v>
      </c>
      <c r="BH257" s="72">
        <f>IF(ROUND(AH257/VLOOKUP($C257,CapRate,24),0)&gt;BH256,AH257/VLOOKUP($C257,CapRate,24),BH256)</f>
        <v>136.33355393778953</v>
      </c>
      <c r="BI257" s="72">
        <f>IF(ROUND(AI257/VLOOKUP($C257,CapRate,25),0)&gt;BI256,AI257/VLOOKUP($C257,CapRate,25),BI256)</f>
        <v>142.41219350563284</v>
      </c>
      <c r="BJ257" s="72">
        <f>IF(ROUND(AJ257/VLOOKUP($C257,CapRate,26),0)&gt;BJ256,AJ257/VLOOKUP($C257,CapRate,26),BJ256)</f>
        <v>150.06657789613848</v>
      </c>
      <c r="BK257" s="87">
        <f t="shared" si="46"/>
        <v>5.3748096999874484E-2</v>
      </c>
      <c r="BL257" s="76"/>
      <c r="BM257" s="77"/>
      <c r="BN257" s="77"/>
      <c r="BO257" s="77"/>
      <c r="BP257" s="77">
        <f>BK257</f>
        <v>5.3748096999874484E-2</v>
      </c>
    </row>
    <row r="258" spans="1:68" ht="15.9" customHeight="1" thickBot="1">
      <c r="A258" s="8" t="s">
        <v>125</v>
      </c>
      <c r="B258" s="22"/>
      <c r="C258" s="90" t="s">
        <v>131</v>
      </c>
      <c r="D258" s="91"/>
      <c r="E258" s="90" t="s">
        <v>40</v>
      </c>
      <c r="F258" s="190">
        <f>[1]AcreSummary!J74</f>
        <v>0.32547122187807803</v>
      </c>
      <c r="G258" s="191"/>
      <c r="H258" s="94"/>
      <c r="I258" s="95">
        <f>[1]Dry!E74</f>
        <v>31.6</v>
      </c>
      <c r="J258" s="96">
        <f>[1]Dry!F74</f>
        <v>31.82</v>
      </c>
      <c r="K258" s="97">
        <f>[1]Dry!G74</f>
        <v>32.75</v>
      </c>
      <c r="L258" s="98">
        <f>[1]Dry!H74</f>
        <v>34.57</v>
      </c>
      <c r="M258" s="96">
        <f>[1]Dry!I74</f>
        <v>36.380000000000003</v>
      </c>
      <c r="N258" s="99">
        <f>[1]Dry!J74</f>
        <v>38.31</v>
      </c>
      <c r="O258" s="100">
        <v>38.11</v>
      </c>
      <c r="P258" s="99">
        <f>[1]Dry!K74</f>
        <v>39.04</v>
      </c>
      <c r="Q258" s="101">
        <f>[1]Dry!L74</f>
        <v>39.909999999999997</v>
      </c>
      <c r="R258" s="221">
        <f>Q258*0.95</f>
        <v>37.914499999999997</v>
      </c>
      <c r="S258" s="103">
        <f>[1]Dry!N74</f>
        <v>39.53</v>
      </c>
      <c r="T258" s="104">
        <f>[1]Dry!O74</f>
        <v>38.520000000000003</v>
      </c>
      <c r="U258" s="105">
        <f>[1]Dry!P74</f>
        <v>36.93</v>
      </c>
      <c r="V258" s="98">
        <f>[1]Dry!Q74</f>
        <v>28.07</v>
      </c>
      <c r="W258" s="98">
        <f>[1]Dry!R74</f>
        <v>33.340000000000003</v>
      </c>
      <c r="X258" s="98">
        <f>[1]Dry!S74</f>
        <v>41.06</v>
      </c>
      <c r="Y258" s="98">
        <f>[1]Dry!T74</f>
        <v>49.66</v>
      </c>
      <c r="Z258" s="98">
        <v>60.38</v>
      </c>
      <c r="AA258" s="98">
        <v>73.760000000000005</v>
      </c>
      <c r="AB258" s="98">
        <v>87.74</v>
      </c>
      <c r="AC258" s="98">
        <v>100.67</v>
      </c>
      <c r="AD258" s="98">
        <v>110.4</v>
      </c>
      <c r="AE258" s="98">
        <v>117.38</v>
      </c>
      <c r="AF258" s="98">
        <v>120.55</v>
      </c>
      <c r="AG258" s="106">
        <v>123.37</v>
      </c>
      <c r="AH258" s="107">
        <v>118.09</v>
      </c>
      <c r="AI258" s="107">
        <v>103.79</v>
      </c>
      <c r="AJ258" s="107">
        <v>87.21</v>
      </c>
      <c r="AK258" s="90">
        <f t="shared" si="49"/>
        <v>210</v>
      </c>
      <c r="AL258" s="90">
        <f t="shared" si="50"/>
        <v>217</v>
      </c>
      <c r="AM258" s="108">
        <f t="shared" si="51"/>
        <v>226</v>
      </c>
      <c r="AN258" s="91">
        <f t="shared" si="52"/>
        <v>242</v>
      </c>
      <c r="AO258" s="108">
        <f t="shared" si="41"/>
        <v>264</v>
      </c>
      <c r="AP258" s="109">
        <f t="shared" si="42"/>
        <v>273</v>
      </c>
      <c r="AQ258" s="110">
        <f t="shared" si="43"/>
        <v>277</v>
      </c>
      <c r="AR258" s="222">
        <f t="shared" si="43"/>
        <v>263</v>
      </c>
      <c r="AS258" s="110">
        <f t="shared" si="47"/>
        <v>274</v>
      </c>
      <c r="AT258" s="110">
        <f t="shared" si="48"/>
        <v>267</v>
      </c>
      <c r="AU258" s="110">
        <f t="shared" si="44"/>
        <v>257</v>
      </c>
      <c r="AV258" s="109">
        <f t="shared" si="45"/>
        <v>193</v>
      </c>
      <c r="AW258" s="109">
        <f>ROUND(W258/VLOOKUP($C258,CapRate,13),0)</f>
        <v>228</v>
      </c>
      <c r="AX258" s="72">
        <f>ROUND(X258/VLOOKUP($C258,CapRate,14),0)</f>
        <v>280</v>
      </c>
      <c r="AY258" s="72">
        <f>ROUND(Y258/VLOOKUP($C258,CapRate,15),0)</f>
        <v>336</v>
      </c>
      <c r="AZ258" s="72">
        <f>ROUND(Z258/VLOOKUP($C258,CapRate,16),0)</f>
        <v>408</v>
      </c>
      <c r="BA258" s="72">
        <f>ROUND(AA258/VLOOKUP($C258,CapRate,17),0)</f>
        <v>495</v>
      </c>
      <c r="BB258" s="72">
        <f>ROUND(AB258/VLOOKUP($C258,CapRate,18),0)</f>
        <v>586</v>
      </c>
      <c r="BC258" s="72">
        <f>ROUND(AC258/VLOOKUP($C258,CapRate,19),0)</f>
        <v>670</v>
      </c>
      <c r="BD258" s="72">
        <f>ROUND(AD258/VLOOKUP($C258,CapRate,20),0)</f>
        <v>733</v>
      </c>
      <c r="BE258" s="72">
        <f>ROUND(AE258/VLOOKUP($C258,CapRate,21),0)</f>
        <v>777</v>
      </c>
      <c r="BF258" s="72">
        <f>ROUND(AF258/VLOOKUP($C258,CapRate,22),0)</f>
        <v>798</v>
      </c>
      <c r="BG258" s="72">
        <f>ROUND(AG258/VLOOKUP($C258,CapRate,23),0)</f>
        <v>816</v>
      </c>
      <c r="BH258" s="72">
        <f>ROUND(AH258/VLOOKUP($C258,CapRate,24),0)</f>
        <v>782</v>
      </c>
      <c r="BI258" s="72">
        <f>ROUND(AI258/VLOOKUP($C258,CapRate,25),0)</f>
        <v>688</v>
      </c>
      <c r="BJ258" s="72">
        <f>ROUND(AJ258/VLOOKUP($C258,CapRate,26),0)</f>
        <v>581</v>
      </c>
      <c r="BK258" s="87">
        <f t="shared" si="46"/>
        <v>-0.15552325581395354</v>
      </c>
      <c r="BL258" s="114">
        <f>((F256*BK256)+(F257*BK257)+(F258*BK258))</f>
        <v>-2.6637496782455534E-2</v>
      </c>
      <c r="BM258" s="77"/>
      <c r="BN258" s="77">
        <f>BK258</f>
        <v>-0.15552325581395354</v>
      </c>
      <c r="BO258" s="77"/>
      <c r="BP258" s="77"/>
    </row>
    <row r="259" spans="1:68" ht="15.9" customHeight="1" thickTop="1">
      <c r="A259" s="8" t="s">
        <v>125</v>
      </c>
      <c r="B259" s="22"/>
      <c r="C259" s="8" t="s">
        <v>132</v>
      </c>
      <c r="D259" s="23" t="s">
        <v>132</v>
      </c>
      <c r="E259" s="8" t="s">
        <v>39</v>
      </c>
      <c r="F259" s="188">
        <f>[1]AcreSummary!M75</f>
        <v>0.29849270755045382</v>
      </c>
      <c r="G259" s="25"/>
      <c r="H259" s="117"/>
      <c r="I259" s="57">
        <f>[1]Native!E73</f>
        <v>2.78</v>
      </c>
      <c r="J259" s="58">
        <f>[1]Native!F73</f>
        <v>8.7899999999999991</v>
      </c>
      <c r="K259" s="80">
        <f>[1]Native!G73</f>
        <v>8.8800000000000008</v>
      </c>
      <c r="L259" s="68">
        <f>[1]Native!H73</f>
        <v>8.56</v>
      </c>
      <c r="M259" s="58">
        <f>[1]Native!I73</f>
        <v>8.57</v>
      </c>
      <c r="N259" s="81">
        <f>[1]Native!J73</f>
        <v>8.2899999999999991</v>
      </c>
      <c r="O259" s="62">
        <v>2.66</v>
      </c>
      <c r="P259" s="81">
        <f>[1]Native!K73</f>
        <v>8.1199999999999992</v>
      </c>
      <c r="Q259" s="82">
        <f>[1]Native!L73</f>
        <v>7.99</v>
      </c>
      <c r="R259" s="83">
        <v>7.81</v>
      </c>
      <c r="S259" s="84">
        <f>[1]Native!M73</f>
        <v>7.96</v>
      </c>
      <c r="T259" s="66">
        <f>[1]Native!N73</f>
        <v>7.7</v>
      </c>
      <c r="U259" s="67">
        <f>[1]Native!O73</f>
        <v>7.49</v>
      </c>
      <c r="V259" s="68">
        <f>[1]Native!P73</f>
        <v>8.98</v>
      </c>
      <c r="W259" s="68">
        <f>[1]Native!Q73</f>
        <v>8.8000000000000007</v>
      </c>
      <c r="X259" s="68">
        <v>9.27</v>
      </c>
      <c r="Y259" s="68">
        <v>9.81</v>
      </c>
      <c r="Z259" s="68">
        <v>10.78</v>
      </c>
      <c r="AA259" s="68">
        <v>11.85</v>
      </c>
      <c r="AB259" s="68">
        <v>12.77</v>
      </c>
      <c r="AC259" s="68">
        <v>13.8</v>
      </c>
      <c r="AD259" s="68">
        <v>15.48</v>
      </c>
      <c r="AE259" s="68">
        <v>16.63</v>
      </c>
      <c r="AF259" s="68">
        <v>18.170000000000002</v>
      </c>
      <c r="AG259" s="69">
        <v>18.690000000000001</v>
      </c>
      <c r="AH259" s="70">
        <v>18.98</v>
      </c>
      <c r="AI259" s="70">
        <v>19.03</v>
      </c>
      <c r="AJ259" s="70">
        <v>19.23</v>
      </c>
      <c r="AK259" s="8">
        <f t="shared" si="49"/>
        <v>59</v>
      </c>
      <c r="AL259" s="8">
        <f t="shared" si="50"/>
        <v>60</v>
      </c>
      <c r="AM259" s="85">
        <f t="shared" si="51"/>
        <v>58</v>
      </c>
      <c r="AN259" s="23">
        <f t="shared" si="52"/>
        <v>59</v>
      </c>
      <c r="AO259" s="85">
        <f t="shared" si="41"/>
        <v>19</v>
      </c>
      <c r="AP259" s="72">
        <f t="shared" si="42"/>
        <v>60</v>
      </c>
      <c r="AQ259" s="71">
        <f t="shared" si="43"/>
        <v>58</v>
      </c>
      <c r="AR259" s="71">
        <f t="shared" si="43"/>
        <v>57</v>
      </c>
      <c r="AS259" s="71">
        <f t="shared" si="47"/>
        <v>58</v>
      </c>
      <c r="AT259" s="71">
        <f t="shared" si="48"/>
        <v>56</v>
      </c>
      <c r="AU259" s="71">
        <f t="shared" si="44"/>
        <v>54</v>
      </c>
      <c r="AV259" s="72">
        <f t="shared" si="45"/>
        <v>64</v>
      </c>
      <c r="AW259" s="72">
        <f>ROUND(W259/VLOOKUP($C259,CapRate,13),0)</f>
        <v>63</v>
      </c>
      <c r="AX259" s="122">
        <f>IF(ROUND(X259/VLOOKUP($C259,CapRate,14),0)&gt;10,X259/VLOOKUP($C259,CapRate,14),10)</f>
        <v>66.214285714285708</v>
      </c>
      <c r="AY259" s="122">
        <f>IF(ROUND(Y259/VLOOKUP($C259,CapRate,15),0)&gt;10,Y259/VLOOKUP($C259,CapRate,15),10)</f>
        <v>69.722814498933914</v>
      </c>
      <c r="AZ259" s="122">
        <f>IF(ROUND(Z259/VLOOKUP($C259,CapRate,16),0)&gt;10,Z259/VLOOKUP($C259,CapRate,16),10)</f>
        <v>76.399716513111258</v>
      </c>
      <c r="BA259" s="122">
        <f>IF(ROUND(AA259/VLOOKUP($C259,CapRate,17),0)&gt;10,AA259/VLOOKUP($C259,CapRate,17),10)</f>
        <v>83.333333333333329</v>
      </c>
      <c r="BB259" s="122">
        <f>IF(ROUND(AB259/VLOOKUP($C259,CapRate,18),0)&gt;10,AB259/VLOOKUP($C259,CapRate,18),10)</f>
        <v>89.300699300699307</v>
      </c>
      <c r="BC259" s="122">
        <f>IF(ROUND(AC259/VLOOKUP($C259,CapRate,19),0)&gt;10,AC259/VLOOKUP($C259,CapRate,19),10)</f>
        <v>96.100278551532028</v>
      </c>
      <c r="BD259" s="122">
        <f>IF(ROUND(AD259/VLOOKUP($C259,CapRate,20),0)&gt;10,AD259/VLOOKUP($C259,CapRate,20),10)</f>
        <v>107.50000000000001</v>
      </c>
      <c r="BE259" s="122">
        <f>IF(ROUND(AE259/VLOOKUP($C259,CapRate,21),0)&gt;10,AE259/VLOOKUP($C259,CapRate,21),10)</f>
        <v>115.24601524601523</v>
      </c>
      <c r="BF259" s="122">
        <f>IF(ROUND(AF259/VLOOKUP($C259,CapRate,22),0)&gt;10,AF259/VLOOKUP($C259,CapRate,22),10)</f>
        <v>125.74394463667822</v>
      </c>
      <c r="BG259" s="122">
        <f>IF(ROUND(AG259/VLOOKUP($C259,CapRate,23),0)&gt;10,AG259/VLOOKUP($C259,CapRate,23),10)</f>
        <v>129.16378714581896</v>
      </c>
      <c r="BH259" s="122">
        <f>IF(ROUND(AH259/VLOOKUP($C259,CapRate,24),0)&gt;10,AH259/VLOOKUP($C259,CapRate,24),10)</f>
        <v>131.16793365583968</v>
      </c>
      <c r="BI259" s="122">
        <f>IF(ROUND(AI259/VLOOKUP($C259,CapRate,25),0)&gt;10,AI259/VLOOKUP($C259,CapRate,25),10)</f>
        <v>131.5134761575674</v>
      </c>
      <c r="BJ259" s="122">
        <f>IF(ROUND(AJ259/VLOOKUP($C259,CapRate,26),0)&gt;10,AJ259/VLOOKUP($C259,CapRate,26),10)</f>
        <v>133.17174515235456</v>
      </c>
      <c r="BK259" s="75">
        <f t="shared" si="46"/>
        <v>1.2609118420688459E-2</v>
      </c>
      <c r="BL259" s="76"/>
      <c r="BM259" s="219">
        <f>BK259</f>
        <v>1.2609118420688459E-2</v>
      </c>
      <c r="BN259" s="220"/>
      <c r="BO259" s="220"/>
      <c r="BP259" s="220"/>
    </row>
    <row r="260" spans="1:68" ht="15.9" customHeight="1">
      <c r="A260" s="8"/>
      <c r="B260" s="22"/>
      <c r="C260" s="8" t="s">
        <v>132</v>
      </c>
      <c r="D260" s="23"/>
      <c r="E260" s="8" t="s">
        <v>85</v>
      </c>
      <c r="F260" s="188">
        <f>[1]AcreSummary!L75</f>
        <v>0.41310354673172983</v>
      </c>
      <c r="G260" s="25"/>
      <c r="H260" s="117"/>
      <c r="I260" s="57"/>
      <c r="J260" s="58">
        <f>[1]Tame!D42</f>
        <v>11.85</v>
      </c>
      <c r="K260" s="80">
        <f>[1]Tame!E42</f>
        <v>11.99</v>
      </c>
      <c r="L260" s="68">
        <f>[1]Tame!F42</f>
        <v>11.54</v>
      </c>
      <c r="M260" s="58">
        <f>[1]Tame!G42</f>
        <v>11.28</v>
      </c>
      <c r="N260" s="81">
        <f>[1]Tame!H42</f>
        <v>10.74</v>
      </c>
      <c r="O260" s="62">
        <v>10.39</v>
      </c>
      <c r="P260" s="81">
        <f>[1]Tame!I42</f>
        <v>10.02</v>
      </c>
      <c r="Q260" s="82">
        <f>[1]Tame!J42</f>
        <v>9.9700000000000006</v>
      </c>
      <c r="R260" s="83">
        <v>9.9700000000000006</v>
      </c>
      <c r="S260" s="84">
        <f>[1]Tame!K42</f>
        <v>9.66</v>
      </c>
      <c r="T260" s="66">
        <f>[1]Tame!L42</f>
        <v>8.98</v>
      </c>
      <c r="U260" s="67">
        <f>[1]Tame!M42</f>
        <v>8.76</v>
      </c>
      <c r="V260" s="68">
        <f>[1]Tame!N42</f>
        <v>8.83</v>
      </c>
      <c r="W260" s="68">
        <f>[1]Tame!O42</f>
        <v>8.11</v>
      </c>
      <c r="X260" s="68">
        <v>7.94</v>
      </c>
      <c r="Y260" s="68">
        <v>7.77</v>
      </c>
      <c r="Z260" s="68">
        <v>9.9</v>
      </c>
      <c r="AA260" s="68">
        <v>9.23</v>
      </c>
      <c r="AB260" s="68">
        <v>10.3</v>
      </c>
      <c r="AC260" s="68">
        <v>0</v>
      </c>
      <c r="AD260" s="68">
        <v>13.28</v>
      </c>
      <c r="AE260" s="68">
        <v>15.65</v>
      </c>
      <c r="AF260" s="68">
        <v>17.22</v>
      </c>
      <c r="AG260" s="69">
        <v>19.03</v>
      </c>
      <c r="AH260" s="70">
        <v>20.73</v>
      </c>
      <c r="AI260" s="70">
        <v>21.62</v>
      </c>
      <c r="AJ260" s="70">
        <v>22.68</v>
      </c>
      <c r="AK260" s="8">
        <f>ROUND(J260/VLOOKUP($C260,CapRate,2),0)</f>
        <v>79</v>
      </c>
      <c r="AL260" s="8">
        <f>ROUND(K260/VLOOKUP($C260,CapRate,3),0)</f>
        <v>81</v>
      </c>
      <c r="AM260" s="85">
        <f>ROUND(L260/VLOOKUP($C260,CapRate,4),0)</f>
        <v>78</v>
      </c>
      <c r="AN260" s="23">
        <f>ROUND(M260/VLOOKUP($C260,CapRate,5),0)</f>
        <v>78</v>
      </c>
      <c r="AO260" s="85">
        <f t="shared" si="41"/>
        <v>75</v>
      </c>
      <c r="AP260" s="72">
        <f t="shared" si="42"/>
        <v>74</v>
      </c>
      <c r="AQ260" s="71">
        <f t="shared" si="43"/>
        <v>73</v>
      </c>
      <c r="AR260" s="71">
        <f t="shared" si="43"/>
        <v>73</v>
      </c>
      <c r="AS260" s="71">
        <f t="shared" si="47"/>
        <v>70</v>
      </c>
      <c r="AT260" s="71">
        <f t="shared" si="48"/>
        <v>65</v>
      </c>
      <c r="AU260" s="71">
        <f t="shared" si="44"/>
        <v>64</v>
      </c>
      <c r="AV260" s="72">
        <f>IF(ROUND(V260/VLOOKUP($C260,CapRate,12),0)&gt;AV259,V260/VLOOKUP($C260,CapRate,12),AV259)</f>
        <v>64</v>
      </c>
      <c r="AW260" s="72">
        <f>IF(ROUND(W260/VLOOKUP($C260,CapRate,13),0)&gt;AW259,W260/VLOOKUP($C260,CapRate,13),AW259)</f>
        <v>63</v>
      </c>
      <c r="AX260" s="72">
        <f>IF(ROUND(X260/VLOOKUP($C260,CapRate,14),0)&gt;AX259,X260/VLOOKUP($C260,CapRate,14),AX259)</f>
        <v>66.214285714285708</v>
      </c>
      <c r="AY260" s="72">
        <f>IF(ROUND(Y260/VLOOKUP($C260,CapRate,15),0)&gt;AY259,Y260/VLOOKUP($C260,CapRate,15),AY259)</f>
        <v>69.722814498933914</v>
      </c>
      <c r="AZ260" s="72">
        <f>IF(ROUND(Z260/VLOOKUP($C260,CapRate,16),0)&gt;AZ259,Z260/VLOOKUP($C260,CapRate,16),AZ259)</f>
        <v>76.399716513111258</v>
      </c>
      <c r="BA260" s="72">
        <f>IF(ROUND(AA260/VLOOKUP($C260,CapRate,17),0)&gt;BA259,AA260/VLOOKUP($C260,CapRate,17),BA259)</f>
        <v>83.333333333333329</v>
      </c>
      <c r="BB260" s="72">
        <f>IF(ROUND(AB260/VLOOKUP($C260,CapRate,18),0)&gt;BB259,AB260/VLOOKUP($C260,CapRate,18),BB259)</f>
        <v>89.300699300699307</v>
      </c>
      <c r="BC260" s="72">
        <f>IF(ROUND(AC260/VLOOKUP($C260,CapRate,19),0)&gt;BC259,AC260/VLOOKUP($C260,CapRate,19),BC259)</f>
        <v>96.100278551532028</v>
      </c>
      <c r="BD260" s="72">
        <f>IF(ROUND(AD260/VLOOKUP($C260,CapRate,20),0)&gt;BD259,AD260/VLOOKUP($C260,CapRate,20),BD259)</f>
        <v>107.50000000000001</v>
      </c>
      <c r="BE260" s="72">
        <f>IF(ROUND(AE260/VLOOKUP($C260,CapRate,21),0)&gt;BE259,AE260/VLOOKUP($C260,CapRate,21),BE259)</f>
        <v>115.24601524601523</v>
      </c>
      <c r="BF260" s="72">
        <f>IF(ROUND(AF260/VLOOKUP($C260,CapRate,22),0)&gt;BF259,AF260/VLOOKUP($C260,CapRate,22),BF259)</f>
        <v>125.74394463667822</v>
      </c>
      <c r="BG260" s="72">
        <f>IF(ROUND(AG260/VLOOKUP($C260,CapRate,23),0)&gt;BG259,AG260/VLOOKUP($C260,CapRate,23),BG259)</f>
        <v>131.5134761575674</v>
      </c>
      <c r="BH260" s="72">
        <f>IF(ROUND(AH260/VLOOKUP($C260,CapRate,24),0)&gt;BH259,AH260/VLOOKUP($C260,CapRate,24),BH259)</f>
        <v>143.26192121630962</v>
      </c>
      <c r="BI260" s="72">
        <f>IF(ROUND(AI260/VLOOKUP($C260,CapRate,25),0)&gt;BI259,AI260/VLOOKUP($C260,CapRate,25),BI259)</f>
        <v>149.4125777470629</v>
      </c>
      <c r="BJ260" s="72">
        <f>IF(ROUND(AJ260/VLOOKUP($C260,CapRate,26),0)&gt;BJ259,AJ260/VLOOKUP($C260,CapRate,26),BJ259)</f>
        <v>157.06371191135733</v>
      </c>
      <c r="BK260" s="87">
        <f t="shared" si="46"/>
        <v>5.1208099610240643E-2</v>
      </c>
      <c r="BL260" s="76"/>
      <c r="BM260" s="77"/>
      <c r="BN260" s="77"/>
      <c r="BO260" s="77"/>
      <c r="BP260" s="77">
        <f>BK260</f>
        <v>5.1208099610240643E-2</v>
      </c>
    </row>
    <row r="261" spans="1:68" ht="15.9" customHeight="1" thickBot="1">
      <c r="A261" s="8" t="s">
        <v>125</v>
      </c>
      <c r="B261" s="22"/>
      <c r="C261" s="90" t="s">
        <v>132</v>
      </c>
      <c r="D261" s="91"/>
      <c r="E261" s="90" t="s">
        <v>40</v>
      </c>
      <c r="F261" s="190">
        <f>[1]AcreSummary!J75</f>
        <v>0.28300158640584167</v>
      </c>
      <c r="G261" s="191"/>
      <c r="H261" s="94"/>
      <c r="I261" s="95">
        <f>[1]Dry!E75</f>
        <v>33.700000000000003</v>
      </c>
      <c r="J261" s="96">
        <f>[1]Dry!F75</f>
        <v>33.97</v>
      </c>
      <c r="K261" s="97">
        <f>[1]Dry!G75</f>
        <v>34.24</v>
      </c>
      <c r="L261" s="98">
        <f>[1]Dry!H75</f>
        <v>35.15</v>
      </c>
      <c r="M261" s="96">
        <f>[1]Dry!I75</f>
        <v>36.119999999999997</v>
      </c>
      <c r="N261" s="99">
        <f>[1]Dry!J75</f>
        <v>37.31</v>
      </c>
      <c r="O261" s="100">
        <v>33.65</v>
      </c>
      <c r="P261" s="99">
        <f>[1]Dry!K75</f>
        <v>38.049999999999997</v>
      </c>
      <c r="Q261" s="101">
        <f>[1]Dry!L75</f>
        <v>38.4</v>
      </c>
      <c r="R261" s="221">
        <f>Q261*0.95</f>
        <v>36.479999999999997</v>
      </c>
      <c r="S261" s="103">
        <f>[1]Dry!N75</f>
        <v>37.57</v>
      </c>
      <c r="T261" s="104">
        <f>[1]Dry!O75</f>
        <v>36.44</v>
      </c>
      <c r="U261" s="105">
        <f>[1]Dry!P75</f>
        <v>34.090000000000003</v>
      </c>
      <c r="V261" s="98">
        <f>[1]Dry!Q75</f>
        <v>25.48</v>
      </c>
      <c r="W261" s="98">
        <f>[1]Dry!R75</f>
        <v>30.69</v>
      </c>
      <c r="X261" s="98">
        <f>[1]Dry!S75</f>
        <v>37.119999999999997</v>
      </c>
      <c r="Y261" s="98">
        <f>[1]Dry!T75</f>
        <v>44.91</v>
      </c>
      <c r="Z261" s="98">
        <v>54.07</v>
      </c>
      <c r="AA261" s="98">
        <v>64.91</v>
      </c>
      <c r="AB261" s="98">
        <v>77.099999999999994</v>
      </c>
      <c r="AC261" s="98">
        <v>88.43</v>
      </c>
      <c r="AD261" s="98">
        <v>96.74</v>
      </c>
      <c r="AE261" s="98">
        <v>102.82</v>
      </c>
      <c r="AF261" s="98">
        <v>107.07</v>
      </c>
      <c r="AG261" s="106">
        <v>109.44</v>
      </c>
      <c r="AH261" s="107">
        <v>105.12</v>
      </c>
      <c r="AI261" s="107">
        <v>92.11</v>
      </c>
      <c r="AJ261" s="107">
        <v>76.77</v>
      </c>
      <c r="AK261" s="90">
        <f t="shared" si="49"/>
        <v>228</v>
      </c>
      <c r="AL261" s="90">
        <f t="shared" si="50"/>
        <v>232</v>
      </c>
      <c r="AM261" s="108">
        <f t="shared" si="51"/>
        <v>238</v>
      </c>
      <c r="AN261" s="91">
        <f t="shared" si="52"/>
        <v>251</v>
      </c>
      <c r="AO261" s="108">
        <f t="shared" si="41"/>
        <v>244</v>
      </c>
      <c r="AP261" s="109">
        <f t="shared" si="42"/>
        <v>280</v>
      </c>
      <c r="AQ261" s="110">
        <f t="shared" si="43"/>
        <v>281</v>
      </c>
      <c r="AR261" s="222">
        <f t="shared" si="43"/>
        <v>267</v>
      </c>
      <c r="AS261" s="110">
        <f t="shared" si="47"/>
        <v>274</v>
      </c>
      <c r="AT261" s="110">
        <f t="shared" si="48"/>
        <v>265</v>
      </c>
      <c r="AU261" s="110">
        <f t="shared" si="44"/>
        <v>248</v>
      </c>
      <c r="AV261" s="109">
        <f t="shared" si="45"/>
        <v>183</v>
      </c>
      <c r="AW261" s="109">
        <f>ROUND(W261/VLOOKUP($C261,CapRate,13),0)</f>
        <v>220</v>
      </c>
      <c r="AX261" s="72">
        <f>ROUND(X261/VLOOKUP($C261,CapRate,14),0)</f>
        <v>265</v>
      </c>
      <c r="AY261" s="72">
        <f>ROUND(Y261/VLOOKUP($C261,CapRate,15),0)</f>
        <v>319</v>
      </c>
      <c r="AZ261" s="72">
        <f>ROUND(Z261/VLOOKUP($C261,CapRate,16),0)</f>
        <v>383</v>
      </c>
      <c r="BA261" s="72">
        <f>ROUND(AA261/VLOOKUP($C261,CapRate,17),0)</f>
        <v>456</v>
      </c>
      <c r="BB261" s="72">
        <f>ROUND(AB261/VLOOKUP($C261,CapRate,18),0)</f>
        <v>539</v>
      </c>
      <c r="BC261" s="72">
        <f>ROUND(AC261/VLOOKUP($C261,CapRate,19),0)</f>
        <v>616</v>
      </c>
      <c r="BD261" s="72">
        <f>ROUND(AD261/VLOOKUP($C261,CapRate,20),0)</f>
        <v>672</v>
      </c>
      <c r="BE261" s="72">
        <f>ROUND(AE261/VLOOKUP($C261,CapRate,21),0)</f>
        <v>713</v>
      </c>
      <c r="BF261" s="72">
        <f>ROUND(AF261/VLOOKUP($C261,CapRate,22),0)</f>
        <v>741</v>
      </c>
      <c r="BG261" s="72">
        <f>ROUND(AG261/VLOOKUP($C261,CapRate,23),0)</f>
        <v>756</v>
      </c>
      <c r="BH261" s="72">
        <f>ROUND(AH261/VLOOKUP($C261,CapRate,24),0)</f>
        <v>726</v>
      </c>
      <c r="BI261" s="72">
        <f>ROUND(AI261/VLOOKUP($C261,CapRate,25),0)</f>
        <v>637</v>
      </c>
      <c r="BJ261" s="72">
        <f>ROUND(AJ261/VLOOKUP($C261,CapRate,26),0)</f>
        <v>532</v>
      </c>
      <c r="BK261" s="87">
        <f t="shared" si="46"/>
        <v>-0.1648351648351648</v>
      </c>
      <c r="BL261" s="114">
        <f>((F259*BK259)+(F260*BK260)+(F261*BK261))</f>
        <v>-2.1730635676222323E-2</v>
      </c>
      <c r="BM261" s="77"/>
      <c r="BN261" s="77">
        <f>BK261</f>
        <v>-0.1648351648351648</v>
      </c>
      <c r="BO261" s="77"/>
      <c r="BP261" s="77"/>
    </row>
    <row r="262" spans="1:68" ht="15.9" customHeight="1" thickTop="1">
      <c r="A262" s="8" t="s">
        <v>125</v>
      </c>
      <c r="B262" s="22"/>
      <c r="C262" s="8" t="s">
        <v>133</v>
      </c>
      <c r="D262" s="23" t="s">
        <v>133</v>
      </c>
      <c r="E262" s="8" t="s">
        <v>39</v>
      </c>
      <c r="F262" s="188">
        <f>[1]AcreSummary!M76</f>
        <v>0.33013057299480308</v>
      </c>
      <c r="G262" s="25"/>
      <c r="H262" s="117"/>
      <c r="I262" s="57">
        <f>[1]Native!E74</f>
        <v>7.93</v>
      </c>
      <c r="J262" s="58">
        <f>[1]Native!F74</f>
        <v>7.66</v>
      </c>
      <c r="K262" s="80">
        <f>[1]Native!G74</f>
        <v>7.81</v>
      </c>
      <c r="L262" s="68">
        <f>[1]Native!H74</f>
        <v>7.59</v>
      </c>
      <c r="M262" s="58">
        <f>[1]Native!I74</f>
        <v>7.68</v>
      </c>
      <c r="N262" s="81">
        <f>[1]Native!J74</f>
        <v>7.51</v>
      </c>
      <c r="O262" s="62">
        <v>7.67</v>
      </c>
      <c r="P262" s="81">
        <f>[1]Native!K74</f>
        <v>7.29</v>
      </c>
      <c r="Q262" s="82">
        <f>[1]Native!L74</f>
        <v>7.22</v>
      </c>
      <c r="R262" s="83">
        <v>7.22</v>
      </c>
      <c r="S262" s="84">
        <f>[1]Native!M74</f>
        <v>7.23</v>
      </c>
      <c r="T262" s="66">
        <f>[1]Native!N74</f>
        <v>8.32</v>
      </c>
      <c r="U262" s="67">
        <f>[1]Native!O74</f>
        <v>8.09</v>
      </c>
      <c r="V262" s="68">
        <f>[1]Native!P74</f>
        <v>8.69</v>
      </c>
      <c r="W262" s="68">
        <f>[1]Native!Q74</f>
        <v>8.44</v>
      </c>
      <c r="X262" s="68">
        <v>8.8699999999999992</v>
      </c>
      <c r="Y262" s="68">
        <v>9.34</v>
      </c>
      <c r="Z262" s="68">
        <v>10.25</v>
      </c>
      <c r="AA262" s="68">
        <v>10.98</v>
      </c>
      <c r="AB262" s="68">
        <v>11.81</v>
      </c>
      <c r="AC262" s="68">
        <v>12.43</v>
      </c>
      <c r="AD262" s="68">
        <v>14.09</v>
      </c>
      <c r="AE262" s="68">
        <v>15.25</v>
      </c>
      <c r="AF262" s="68">
        <v>15.59</v>
      </c>
      <c r="AG262" s="69">
        <v>16.079999999999998</v>
      </c>
      <c r="AH262" s="70">
        <v>16.39</v>
      </c>
      <c r="AI262" s="70">
        <v>16.38</v>
      </c>
      <c r="AJ262" s="70">
        <v>16.53</v>
      </c>
      <c r="AK262" s="8">
        <f t="shared" si="49"/>
        <v>50</v>
      </c>
      <c r="AL262" s="8">
        <f t="shared" si="50"/>
        <v>52</v>
      </c>
      <c r="AM262" s="85">
        <f t="shared" si="51"/>
        <v>50</v>
      </c>
      <c r="AN262" s="23">
        <f t="shared" si="52"/>
        <v>52</v>
      </c>
      <c r="AO262" s="85">
        <f t="shared" si="41"/>
        <v>54</v>
      </c>
      <c r="AP262" s="72">
        <f t="shared" si="42"/>
        <v>52</v>
      </c>
      <c r="AQ262" s="71">
        <f t="shared" si="43"/>
        <v>51</v>
      </c>
      <c r="AR262" s="71">
        <f t="shared" si="43"/>
        <v>51</v>
      </c>
      <c r="AS262" s="71">
        <f t="shared" si="47"/>
        <v>51</v>
      </c>
      <c r="AT262" s="71">
        <f t="shared" si="48"/>
        <v>59</v>
      </c>
      <c r="AU262" s="71">
        <f t="shared" si="44"/>
        <v>57</v>
      </c>
      <c r="AV262" s="72">
        <f t="shared" si="45"/>
        <v>60</v>
      </c>
      <c r="AW262" s="72">
        <f>ROUND(W262/VLOOKUP($C262,CapRate,13),0)</f>
        <v>58</v>
      </c>
      <c r="AX262" s="122">
        <f>IF(ROUND(X262/VLOOKUP($C262,CapRate,14),0)&gt;10,X262/VLOOKUP($C262,CapRate,14),10)</f>
        <v>61.299239806496196</v>
      </c>
      <c r="AY262" s="122">
        <f>IF(ROUND(Y262/VLOOKUP($C262,CapRate,15),0)&gt;10,Y262/VLOOKUP($C262,CapRate,15),10)</f>
        <v>64.14835164835165</v>
      </c>
      <c r="AZ262" s="122">
        <f>IF(ROUND(Z262/VLOOKUP($C262,CapRate,16),0)&gt;10,Z262/VLOOKUP($C262,CapRate,16),10)</f>
        <v>70.30178326474622</v>
      </c>
      <c r="BA262" s="122">
        <f>IF(ROUND(AA262/VLOOKUP($C262,CapRate,17),0)&gt;10,AA262/VLOOKUP($C262,CapRate,17),10)</f>
        <v>75.102599179206564</v>
      </c>
      <c r="BB262" s="122">
        <f>IF(ROUND(AB262/VLOOKUP($C262,CapRate,18),0)&gt;10,AB262/VLOOKUP($C262,CapRate,18),10)</f>
        <v>80.779753761969914</v>
      </c>
      <c r="BC262" s="122">
        <f>IF(ROUND(AC262/VLOOKUP($C262,CapRate,19),0)&gt;10,AC262/VLOOKUP($C262,CapRate,19),10)</f>
        <v>84.846416382252556</v>
      </c>
      <c r="BD262" s="122">
        <f>IF(ROUND(AD262/VLOOKUP($C262,CapRate,20),0)&gt;10,AD262/VLOOKUP($C262,CapRate,20),10)</f>
        <v>96.046353101567831</v>
      </c>
      <c r="BE262" s="122">
        <f>IF(ROUND(AE262/VLOOKUP($C262,CapRate,21),0)&gt;10,AE262/VLOOKUP($C262,CapRate,21),10)</f>
        <v>103.67097212780421</v>
      </c>
      <c r="BF262" s="122">
        <f>IF(ROUND(AF262/VLOOKUP($C262,CapRate,22),0)&gt;10,AF262/VLOOKUP($C262,CapRate,22),10)</f>
        <v>106.05442176870748</v>
      </c>
      <c r="BG262" s="122">
        <f>IF(ROUND(AG262/VLOOKUP($C262,CapRate,23),0)&gt;10,AG262/VLOOKUP($C262,CapRate,23),10)</f>
        <v>109.46221919673246</v>
      </c>
      <c r="BH262" s="122">
        <f>IF(ROUND(AH262/VLOOKUP($C262,CapRate,24),0)&gt;10,AH262/VLOOKUP($C262,CapRate,24),10)</f>
        <v>111.72460804362646</v>
      </c>
      <c r="BI262" s="122">
        <f>IF(ROUND(AI262/VLOOKUP($C262,CapRate,25),0)&gt;10,AI262/VLOOKUP($C262,CapRate,25),10)</f>
        <v>111.88524590163934</v>
      </c>
      <c r="BJ262" s="122">
        <f>IF(ROUND(AJ262/VLOOKUP($C262,CapRate,26),0)&gt;10,AJ262/VLOOKUP($C262,CapRate,26),10)</f>
        <v>113.29677861549007</v>
      </c>
      <c r="BK262" s="75">
        <f t="shared" si="46"/>
        <v>1.2615896783134684E-2</v>
      </c>
      <c r="BL262" s="76"/>
      <c r="BM262" s="219">
        <f>BK262</f>
        <v>1.2615896783134684E-2</v>
      </c>
      <c r="BN262" s="220"/>
      <c r="BO262" s="220"/>
      <c r="BP262" s="220"/>
    </row>
    <row r="263" spans="1:68" ht="15.9" customHeight="1">
      <c r="A263" s="8"/>
      <c r="B263" s="22"/>
      <c r="C263" s="8" t="s">
        <v>133</v>
      </c>
      <c r="D263" s="23"/>
      <c r="E263" s="8" t="s">
        <v>85</v>
      </c>
      <c r="F263" s="188">
        <f>[1]AcreSummary!L76</f>
        <v>6.0115222065348119E-2</v>
      </c>
      <c r="G263" s="25"/>
      <c r="H263" s="117"/>
      <c r="I263" s="57"/>
      <c r="J263" s="58">
        <f>[1]Tame!D43</f>
        <v>11.72</v>
      </c>
      <c r="K263" s="80">
        <f>[1]Tame!E43</f>
        <v>11.9</v>
      </c>
      <c r="L263" s="68">
        <f>[1]Tame!F43</f>
        <v>11.49</v>
      </c>
      <c r="M263" s="58">
        <f>[1]Tame!G43</f>
        <v>11.27</v>
      </c>
      <c r="N263" s="81">
        <f>[1]Tame!H43</f>
        <v>10.75</v>
      </c>
      <c r="O263" s="62">
        <v>10.74</v>
      </c>
      <c r="P263" s="81">
        <f>[1]Tame!I43</f>
        <v>10.06</v>
      </c>
      <c r="Q263" s="82">
        <f>[1]Tame!J43</f>
        <v>10.01</v>
      </c>
      <c r="R263" s="83">
        <v>10.01</v>
      </c>
      <c r="S263" s="84">
        <f>[1]Tame!K43</f>
        <v>11.33</v>
      </c>
      <c r="T263" s="66">
        <f>[1]Tame!L43</f>
        <v>10.69</v>
      </c>
      <c r="U263" s="67">
        <f>[1]Tame!M43</f>
        <v>10.19</v>
      </c>
      <c r="V263" s="68">
        <f>[1]Tame!N43</f>
        <v>11.01</v>
      </c>
      <c r="W263" s="68">
        <f>[1]Tame!O43</f>
        <v>10.77</v>
      </c>
      <c r="X263" s="68">
        <v>11</v>
      </c>
      <c r="Y263" s="68">
        <v>11.25</v>
      </c>
      <c r="Z263" s="68">
        <v>7.52</v>
      </c>
      <c r="AA263" s="68">
        <v>8.35</v>
      </c>
      <c r="AB263" s="68">
        <v>9.3699999999999992</v>
      </c>
      <c r="AC263" s="68">
        <v>0</v>
      </c>
      <c r="AD263" s="68">
        <v>12.41</v>
      </c>
      <c r="AE263" s="68">
        <v>14.71</v>
      </c>
      <c r="AF263" s="68">
        <v>16.25</v>
      </c>
      <c r="AG263" s="69">
        <v>18.010000000000002</v>
      </c>
      <c r="AH263" s="70">
        <v>19.66</v>
      </c>
      <c r="AI263" s="70">
        <v>20.53</v>
      </c>
      <c r="AJ263" s="70">
        <v>21.56</v>
      </c>
      <c r="AK263" s="8">
        <f>ROUND(J263/VLOOKUP($C263,CapRate,2),0)</f>
        <v>77</v>
      </c>
      <c r="AL263" s="8">
        <f>ROUND(K263/VLOOKUP($C263,CapRate,3),0)</f>
        <v>79</v>
      </c>
      <c r="AM263" s="85">
        <f>ROUND(L263/VLOOKUP($C263,CapRate,4),0)</f>
        <v>75</v>
      </c>
      <c r="AN263" s="23">
        <f>ROUND(M263/VLOOKUP($C263,CapRate,5),0)</f>
        <v>76</v>
      </c>
      <c r="AO263" s="85">
        <f t="shared" si="41"/>
        <v>75</v>
      </c>
      <c r="AP263" s="72">
        <f t="shared" si="42"/>
        <v>71</v>
      </c>
      <c r="AQ263" s="71">
        <f t="shared" si="43"/>
        <v>71</v>
      </c>
      <c r="AR263" s="71">
        <f t="shared" si="43"/>
        <v>71</v>
      </c>
      <c r="AS263" s="71">
        <f t="shared" si="47"/>
        <v>80</v>
      </c>
      <c r="AT263" s="71">
        <f t="shared" si="48"/>
        <v>76</v>
      </c>
      <c r="AU263" s="71">
        <f t="shared" si="44"/>
        <v>72</v>
      </c>
      <c r="AV263" s="72">
        <f>IF(ROUND(V263/VLOOKUP($C263,CapRate,12),0)&gt;AV262,V263/VLOOKUP($C263,CapRate,12),AV262)</f>
        <v>76.458333333333343</v>
      </c>
      <c r="AW263" s="72">
        <f>IF(ROUND(W263/VLOOKUP($C263,CapRate,13),0)&gt;AW262,W263/VLOOKUP($C263,CapRate,13),AW262)</f>
        <v>74.584487534626035</v>
      </c>
      <c r="AX263" s="72">
        <f>IF(ROUND(X263/VLOOKUP($C263,CapRate,14),0)&gt;AX262,X263/VLOOKUP($C263,CapRate,14),AX262)</f>
        <v>76.019350380096753</v>
      </c>
      <c r="AY263" s="72">
        <f>IF(ROUND(Y263/VLOOKUP($C263,CapRate,15),0)&gt;AY262,Y263/VLOOKUP($C263,CapRate,15),AY262)</f>
        <v>77.266483516483518</v>
      </c>
      <c r="AZ263" s="72">
        <f>IF(ROUND(Z263/VLOOKUP($C263,CapRate,16),0)&gt;AZ262,Z263/VLOOKUP($C263,CapRate,16),AZ262)</f>
        <v>70.30178326474622</v>
      </c>
      <c r="BA263" s="72">
        <f>IF(ROUND(AA263/VLOOKUP($C263,CapRate,17),0)&gt;BA262,AA263/VLOOKUP($C263,CapRate,17),BA262)</f>
        <v>75.102599179206564</v>
      </c>
      <c r="BB263" s="72">
        <f>IF(ROUND(AB263/VLOOKUP($C263,CapRate,18),0)&gt;BB262,AB263/VLOOKUP($C263,CapRate,18),BB262)</f>
        <v>80.779753761969914</v>
      </c>
      <c r="BC263" s="72">
        <f>IF(ROUND(AC263/VLOOKUP($C263,CapRate,19),0)&gt;BC262,AC263/VLOOKUP($C263,CapRate,19),BC262)</f>
        <v>84.846416382252556</v>
      </c>
      <c r="BD263" s="72">
        <f>IF(ROUND(AD263/VLOOKUP($C263,CapRate,20),0)&gt;BD262,AD263/VLOOKUP($C263,CapRate,20),BD262)</f>
        <v>96.046353101567831</v>
      </c>
      <c r="BE263" s="72">
        <f>IF(ROUND(AE263/VLOOKUP($C263,CapRate,21),0)&gt;BE262,AE263/VLOOKUP($C263,CapRate,21),BE262)</f>
        <v>103.67097212780421</v>
      </c>
      <c r="BF263" s="72">
        <f>IF(ROUND(AF263/VLOOKUP($C263,CapRate,22),0)&gt;BF262,AF263/VLOOKUP($C263,CapRate,22),BF262)</f>
        <v>110.54421768707483</v>
      </c>
      <c r="BG263" s="72">
        <f>IF(ROUND(AG263/VLOOKUP($C263,CapRate,23),0)&gt;BG262,AG263/VLOOKUP($C263,CapRate,23),BG262)</f>
        <v>122.60040844111641</v>
      </c>
      <c r="BH263" s="72">
        <f>IF(ROUND(AH263/VLOOKUP($C263,CapRate,24),0)&gt;BH262,AH263/VLOOKUP($C263,CapRate,24),BH262)</f>
        <v>134.01499659168371</v>
      </c>
      <c r="BI263" s="72">
        <f>IF(ROUND(AI263/VLOOKUP($C263,CapRate,25),0)&gt;BI262,AI263/VLOOKUP($C263,CapRate,25),BI262)</f>
        <v>140.23224043715848</v>
      </c>
      <c r="BJ263" s="72">
        <f>IF(ROUND(AJ263/VLOOKUP($C263,CapRate,26),0)&gt;BJ262,AJ263/VLOOKUP($C263,CapRate,26),BJ262)</f>
        <v>147.77244688142562</v>
      </c>
      <c r="BK263" s="87">
        <f t="shared" si="46"/>
        <v>5.3769421502226411E-2</v>
      </c>
      <c r="BL263" s="76"/>
      <c r="BM263" s="77"/>
      <c r="BN263" s="77"/>
      <c r="BO263" s="77"/>
      <c r="BP263" s="77">
        <f>BK263</f>
        <v>5.3769421502226411E-2</v>
      </c>
    </row>
    <row r="264" spans="1:68" ht="15.9" customHeight="1" thickBot="1">
      <c r="A264" s="8" t="s">
        <v>125</v>
      </c>
      <c r="B264" s="22"/>
      <c r="C264" s="90" t="s">
        <v>133</v>
      </c>
      <c r="D264" s="91"/>
      <c r="E264" s="90" t="s">
        <v>40</v>
      </c>
      <c r="F264" s="190">
        <f>[1]AcreSummary!J76</f>
        <v>0.60391150808205218</v>
      </c>
      <c r="G264" s="191"/>
      <c r="H264" s="94"/>
      <c r="I264" s="95">
        <f>[1]Dry!E76</f>
        <v>26.16</v>
      </c>
      <c r="J264" s="96">
        <f>[1]Dry!F76</f>
        <v>26.34</v>
      </c>
      <c r="K264" s="97">
        <f>[1]Dry!G76</f>
        <v>27.07</v>
      </c>
      <c r="L264" s="98">
        <f>[1]Dry!H76</f>
        <v>28.58</v>
      </c>
      <c r="M264" s="96">
        <f>[1]Dry!I76</f>
        <v>30.1</v>
      </c>
      <c r="N264" s="99">
        <f>[1]Dry!J76</f>
        <v>31.86</v>
      </c>
      <c r="O264" s="100">
        <v>31.69</v>
      </c>
      <c r="P264" s="99">
        <f>[1]Dry!K76</f>
        <v>32.67</v>
      </c>
      <c r="Q264" s="101">
        <f>[1]Dry!L76</f>
        <v>33.89</v>
      </c>
      <c r="R264" s="221">
        <f>Q264*0.95</f>
        <v>32.195499999999996</v>
      </c>
      <c r="S264" s="103">
        <f>[1]Dry!N76</f>
        <v>33.65</v>
      </c>
      <c r="T264" s="104">
        <f>[1]Dry!O76</f>
        <v>32.81</v>
      </c>
      <c r="U264" s="105">
        <f>[1]Dry!P76</f>
        <v>30.9</v>
      </c>
      <c r="V264" s="98">
        <f>[1]Dry!Q76</f>
        <v>23.09</v>
      </c>
      <c r="W264" s="98">
        <f>[1]Dry!R76</f>
        <v>27.29</v>
      </c>
      <c r="X264" s="98">
        <f>[1]Dry!S76</f>
        <v>33.869999999999997</v>
      </c>
      <c r="Y264" s="98">
        <f>[1]Dry!T76</f>
        <v>41.74</v>
      </c>
      <c r="Z264" s="98">
        <v>51.31</v>
      </c>
      <c r="AA264" s="98">
        <v>61.74</v>
      </c>
      <c r="AB264" s="98">
        <v>73.17</v>
      </c>
      <c r="AC264" s="98">
        <v>83.81</v>
      </c>
      <c r="AD264" s="98">
        <v>91.86</v>
      </c>
      <c r="AE264" s="98">
        <v>98.12</v>
      </c>
      <c r="AF264" s="98">
        <v>102.1</v>
      </c>
      <c r="AG264" s="106">
        <v>104.49</v>
      </c>
      <c r="AH264" s="107">
        <v>98.92</v>
      </c>
      <c r="AI264" s="107">
        <v>86.46</v>
      </c>
      <c r="AJ264" s="107">
        <v>71.599999999999994</v>
      </c>
      <c r="AK264" s="90">
        <f t="shared" si="49"/>
        <v>174</v>
      </c>
      <c r="AL264" s="90">
        <f t="shared" si="50"/>
        <v>179</v>
      </c>
      <c r="AM264" s="108">
        <f t="shared" si="51"/>
        <v>188</v>
      </c>
      <c r="AN264" s="91">
        <f t="shared" si="52"/>
        <v>203</v>
      </c>
      <c r="AO264" s="108">
        <f t="shared" si="41"/>
        <v>223</v>
      </c>
      <c r="AP264" s="109">
        <f t="shared" si="42"/>
        <v>232</v>
      </c>
      <c r="AQ264" s="110">
        <f t="shared" si="43"/>
        <v>240</v>
      </c>
      <c r="AR264" s="222">
        <f t="shared" si="43"/>
        <v>228</v>
      </c>
      <c r="AS264" s="110">
        <f t="shared" si="47"/>
        <v>239</v>
      </c>
      <c r="AT264" s="110">
        <f t="shared" si="48"/>
        <v>233</v>
      </c>
      <c r="AU264" s="110">
        <f t="shared" si="44"/>
        <v>219</v>
      </c>
      <c r="AV264" s="109">
        <f t="shared" si="45"/>
        <v>160</v>
      </c>
      <c r="AW264" s="109">
        <f>ROUND(W264/VLOOKUP($C264,CapRate,13),0)</f>
        <v>189</v>
      </c>
      <c r="AX264" s="72">
        <f>ROUND(X264/VLOOKUP($C264,CapRate,14),0)</f>
        <v>234</v>
      </c>
      <c r="AY264" s="72">
        <f>ROUND(Y264/VLOOKUP($C264,CapRate,15),0)</f>
        <v>287</v>
      </c>
      <c r="AZ264" s="72">
        <f>ROUND(Z264/VLOOKUP($C264,CapRate,16),0)</f>
        <v>352</v>
      </c>
      <c r="BA264" s="72">
        <f>ROUND(AA264/VLOOKUP($C264,CapRate,17),0)</f>
        <v>422</v>
      </c>
      <c r="BB264" s="72">
        <f>ROUND(AB264/VLOOKUP($C264,CapRate,18),0)</f>
        <v>500</v>
      </c>
      <c r="BC264" s="72">
        <f>ROUND(AC264/VLOOKUP($C264,CapRate,19),0)</f>
        <v>572</v>
      </c>
      <c r="BD264" s="72">
        <f>ROUND(AD264/VLOOKUP($C264,CapRate,20),0)</f>
        <v>626</v>
      </c>
      <c r="BE264" s="72">
        <f>ROUND(AE264/VLOOKUP($C264,CapRate,21),0)</f>
        <v>667</v>
      </c>
      <c r="BF264" s="72">
        <f>ROUND(AF264/VLOOKUP($C264,CapRate,22),0)</f>
        <v>695</v>
      </c>
      <c r="BG264" s="72">
        <f>ROUND(AG264/VLOOKUP($C264,CapRate,23),0)</f>
        <v>711</v>
      </c>
      <c r="BH264" s="72">
        <f>ROUND(AH264/VLOOKUP($C264,CapRate,24),0)</f>
        <v>674</v>
      </c>
      <c r="BI264" s="72">
        <f>ROUND(AI264/VLOOKUP($C264,CapRate,25),0)</f>
        <v>591</v>
      </c>
      <c r="BJ264" s="72">
        <f>ROUND(AJ264/VLOOKUP($C264,CapRate,26),0)</f>
        <v>491</v>
      </c>
      <c r="BK264" s="87">
        <f t="shared" si="46"/>
        <v>-0.16920473773265654</v>
      </c>
      <c r="BL264" s="114">
        <f>((F262*BK262)+(F263*BK263)+(F264*BK264))</f>
        <v>-9.4787434390965541E-2</v>
      </c>
      <c r="BM264" s="77"/>
      <c r="BN264" s="77">
        <f>BK264</f>
        <v>-0.16920473773265654</v>
      </c>
      <c r="BO264" s="77"/>
      <c r="BP264" s="77"/>
    </row>
    <row r="265" spans="1:68" ht="15.9" customHeight="1" thickTop="1">
      <c r="A265" s="8" t="s">
        <v>125</v>
      </c>
      <c r="B265" s="22"/>
      <c r="C265" s="8" t="s">
        <v>134</v>
      </c>
      <c r="D265" s="23" t="s">
        <v>134</v>
      </c>
      <c r="E265" s="8" t="s">
        <v>39</v>
      </c>
      <c r="F265" s="188">
        <f>[1]AcreSummary!M77</f>
        <v>0.19137427816916847</v>
      </c>
      <c r="G265" s="25"/>
      <c r="H265" s="117"/>
      <c r="I265" s="57">
        <f>[1]Native!E75</f>
        <v>9.2799999999999994</v>
      </c>
      <c r="J265" s="58">
        <f>[1]Native!F75</f>
        <v>9.33</v>
      </c>
      <c r="K265" s="80">
        <f>[1]Native!G75</f>
        <v>9.65</v>
      </c>
      <c r="L265" s="68">
        <f>[1]Native!H75</f>
        <v>9.5299999999999994</v>
      </c>
      <c r="M265" s="58">
        <f>[1]Native!I75</f>
        <v>9.8000000000000007</v>
      </c>
      <c r="N265" s="81">
        <f>[1]Native!J75</f>
        <v>9.76</v>
      </c>
      <c r="O265" s="62">
        <v>7.45</v>
      </c>
      <c r="P265" s="81">
        <f>[1]Native!K75</f>
        <v>9.64</v>
      </c>
      <c r="Q265" s="82">
        <f>[1]Native!L75</f>
        <v>9.64</v>
      </c>
      <c r="R265" s="83">
        <v>9.64</v>
      </c>
      <c r="S265" s="84">
        <f>[1]Native!M75</f>
        <v>9.8000000000000007</v>
      </c>
      <c r="T265" s="66">
        <f>[1]Native!N75</f>
        <v>9.74</v>
      </c>
      <c r="U265" s="67">
        <f>[1]Native!O75</f>
        <v>9.5299999999999994</v>
      </c>
      <c r="V265" s="68">
        <f>[1]Native!P75</f>
        <v>9.9499999999999993</v>
      </c>
      <c r="W265" s="68">
        <f>[1]Native!Q75</f>
        <v>9.66</v>
      </c>
      <c r="X265" s="68">
        <v>10</v>
      </c>
      <c r="Y265" s="68">
        <v>10.48</v>
      </c>
      <c r="Z265" s="68">
        <v>11.46</v>
      </c>
      <c r="AA265" s="68">
        <v>12.18</v>
      </c>
      <c r="AB265" s="68">
        <v>13.04</v>
      </c>
      <c r="AC265" s="68">
        <v>13.68</v>
      </c>
      <c r="AD265" s="68">
        <v>15.64</v>
      </c>
      <c r="AE265" s="68">
        <v>16.82</v>
      </c>
      <c r="AF265" s="68">
        <v>17.22</v>
      </c>
      <c r="AG265" s="69">
        <v>17.72</v>
      </c>
      <c r="AH265" s="70">
        <v>18.059999999999999</v>
      </c>
      <c r="AI265" s="70">
        <v>18.09</v>
      </c>
      <c r="AJ265" s="70">
        <v>18.27</v>
      </c>
      <c r="AK265" s="8">
        <f t="shared" si="49"/>
        <v>63</v>
      </c>
      <c r="AL265" s="8">
        <f t="shared" si="50"/>
        <v>65</v>
      </c>
      <c r="AM265" s="85">
        <f t="shared" si="51"/>
        <v>64</v>
      </c>
      <c r="AN265" s="23">
        <f t="shared" si="52"/>
        <v>67</v>
      </c>
      <c r="AO265" s="85">
        <f t="shared" ref="AO265:AO327" si="53">ROUND(O265/VLOOKUP($C265,CapRate,6),0)</f>
        <v>53</v>
      </c>
      <c r="AP265" s="72">
        <f t="shared" ref="AP265:AP327" si="54">ROUND(P265/VLOOKUP($C265,CapRate,7),0)</f>
        <v>69</v>
      </c>
      <c r="AQ265" s="71">
        <f t="shared" si="43"/>
        <v>69</v>
      </c>
      <c r="AR265" s="71">
        <f t="shared" si="43"/>
        <v>69</v>
      </c>
      <c r="AS265" s="71">
        <f t="shared" si="47"/>
        <v>70</v>
      </c>
      <c r="AT265" s="71">
        <f t="shared" si="48"/>
        <v>69</v>
      </c>
      <c r="AU265" s="71">
        <f t="shared" si="44"/>
        <v>68</v>
      </c>
      <c r="AV265" s="72">
        <f t="shared" si="45"/>
        <v>69</v>
      </c>
      <c r="AW265" s="72">
        <f>ROUND(W265/VLOOKUP($C265,CapRate,13),0)</f>
        <v>67</v>
      </c>
      <c r="AX265" s="122">
        <f>IF(ROUND(X265/VLOOKUP($C265,CapRate,14),0)&gt;10,X265/VLOOKUP($C265,CapRate,14),10)</f>
        <v>69.541029207232256</v>
      </c>
      <c r="AY265" s="122">
        <f>IF(ROUND(Y265/VLOOKUP($C265,CapRate,15),0)&gt;10,Y265/VLOOKUP($C265,CapRate,15),10)</f>
        <v>72.777777777777786</v>
      </c>
      <c r="AZ265" s="122">
        <f>IF(ROUND(Z265/VLOOKUP($C265,CapRate,16),0)&gt;10,Z265/VLOOKUP($C265,CapRate,16),10)</f>
        <v>79.583333333333343</v>
      </c>
      <c r="BA265" s="122">
        <f>IF(ROUND(AA265/VLOOKUP($C265,CapRate,17),0)&gt;10,AA265/VLOOKUP($C265,CapRate,17),10)</f>
        <v>84.466019417475735</v>
      </c>
      <c r="BB265" s="122">
        <f>IF(ROUND(AB265/VLOOKUP($C265,CapRate,18),0)&gt;10,AB265/VLOOKUP($C265,CapRate,18),10)</f>
        <v>90.492713393476748</v>
      </c>
      <c r="BC265" s="122">
        <f>IF(ROUND(AC265/VLOOKUP($C265,CapRate,19),0)&gt;10,AC265/VLOOKUP($C265,CapRate,19),10)</f>
        <v>94.934073560027755</v>
      </c>
      <c r="BD265" s="122">
        <f>IF(ROUND(AD265/VLOOKUP($C265,CapRate,20),0)&gt;10,AD265/VLOOKUP($C265,CapRate,20),10)</f>
        <v>108.83785664578984</v>
      </c>
      <c r="BE265" s="122">
        <f>IF(ROUND(AE265/VLOOKUP($C265,CapRate,21),0)&gt;10,AE265/VLOOKUP($C265,CapRate,21),10)</f>
        <v>117.21254355400698</v>
      </c>
      <c r="BF265" s="122">
        <f>IF(ROUND(AF265/VLOOKUP($C265,CapRate,22),0)&gt;10,AF265/VLOOKUP($C265,CapRate,22),10)</f>
        <v>120.25139664804469</v>
      </c>
      <c r="BG265" s="122">
        <f>IF(ROUND(AG265/VLOOKUP($C265,CapRate,23),0)&gt;10,AG265/VLOOKUP($C265,CapRate,23),10)</f>
        <v>124.08963585434172</v>
      </c>
      <c r="BH265" s="122">
        <f>IF(ROUND(AH265/VLOOKUP($C265,CapRate,24),0)&gt;10,AH265/VLOOKUP($C265,CapRate,24),10)</f>
        <v>126.82584269662921</v>
      </c>
      <c r="BI265" s="122">
        <f>IF(ROUND(AI265/VLOOKUP($C265,CapRate,25),0)&gt;10,AI265/VLOOKUP($C265,CapRate,25),10)</f>
        <v>127.66407904022583</v>
      </c>
      <c r="BJ265" s="122">
        <f>IF(ROUND(AJ265/VLOOKUP($C265,CapRate,26),0)&gt;10,AJ265/VLOOKUP($C265,CapRate,26),10)</f>
        <v>129.39093484419263</v>
      </c>
      <c r="BK265" s="75">
        <f t="shared" si="46"/>
        <v>1.3526559835383978E-2</v>
      </c>
      <c r="BL265" s="76"/>
      <c r="BM265" s="219">
        <f>BK265</f>
        <v>1.3526559835383978E-2</v>
      </c>
      <c r="BN265" s="220"/>
      <c r="BO265" s="220"/>
      <c r="BP265" s="220"/>
    </row>
    <row r="266" spans="1:68" ht="15.9" customHeight="1">
      <c r="A266" s="8"/>
      <c r="B266" s="22"/>
      <c r="C266" s="8" t="s">
        <v>134</v>
      </c>
      <c r="D266" s="23"/>
      <c r="E266" s="8" t="s">
        <v>85</v>
      </c>
      <c r="F266" s="188">
        <f>[1]AcreSummary!L77</f>
        <v>0.19272494795937181</v>
      </c>
      <c r="G266" s="25"/>
      <c r="H266" s="117"/>
      <c r="I266" s="57"/>
      <c r="J266" s="58">
        <f>[1]Tame!D44</f>
        <v>11.71</v>
      </c>
      <c r="K266" s="80">
        <f>[1]Tame!E44</f>
        <v>12.03</v>
      </c>
      <c r="L266" s="68">
        <f>[1]Tame!F44</f>
        <v>11.74</v>
      </c>
      <c r="M266" s="58">
        <f>[1]Tame!G44</f>
        <v>11.66</v>
      </c>
      <c r="N266" s="81">
        <f>[1]Tame!H44</f>
        <v>11.28</v>
      </c>
      <c r="O266" s="62">
        <v>10.74</v>
      </c>
      <c r="P266" s="81">
        <f>[1]Tame!I44</f>
        <v>10.7</v>
      </c>
      <c r="Q266" s="82">
        <f>[1]Tame!J44</f>
        <v>10.63</v>
      </c>
      <c r="R266" s="83">
        <v>10.63</v>
      </c>
      <c r="S266" s="84">
        <f>[1]Tame!K44</f>
        <v>10.47</v>
      </c>
      <c r="T266" s="66">
        <f>[1]Tame!L44</f>
        <v>10.18</v>
      </c>
      <c r="U266" s="67">
        <f>[1]Tame!M44</f>
        <v>9.9</v>
      </c>
      <c r="V266" s="68">
        <f>[1]Tame!N44</f>
        <v>9.4600000000000009</v>
      </c>
      <c r="W266" s="68">
        <f>[1]Tame!O44</f>
        <v>8.6300000000000008</v>
      </c>
      <c r="X266" s="68">
        <v>8.3000000000000007</v>
      </c>
      <c r="Y266" s="68">
        <v>8.06</v>
      </c>
      <c r="Z266" s="68">
        <v>8.3800000000000008</v>
      </c>
      <c r="AA266" s="68">
        <v>9.23</v>
      </c>
      <c r="AB266" s="68">
        <v>10.28</v>
      </c>
      <c r="AC266" s="68">
        <v>0</v>
      </c>
      <c r="AD266" s="68">
        <v>13.29</v>
      </c>
      <c r="AE266" s="68">
        <v>15.63</v>
      </c>
      <c r="AF266" s="68">
        <v>17.16</v>
      </c>
      <c r="AG266" s="69">
        <v>18.97</v>
      </c>
      <c r="AH266" s="70">
        <v>20.73</v>
      </c>
      <c r="AI266" s="70">
        <v>21.63</v>
      </c>
      <c r="AJ266" s="70">
        <v>22.69</v>
      </c>
      <c r="AK266" s="8">
        <f>ROUND(J266/VLOOKUP($C266,CapRate,2),0)</f>
        <v>79</v>
      </c>
      <c r="AL266" s="8">
        <f>ROUND(K266/VLOOKUP($C266,CapRate,3),0)</f>
        <v>81</v>
      </c>
      <c r="AM266" s="85">
        <f>ROUND(L266/VLOOKUP($C266,CapRate,4),0)</f>
        <v>78</v>
      </c>
      <c r="AN266" s="23">
        <f>ROUND(M266/VLOOKUP($C266,CapRate,5),0)</f>
        <v>79</v>
      </c>
      <c r="AO266" s="85">
        <f t="shared" si="53"/>
        <v>76</v>
      </c>
      <c r="AP266" s="72">
        <f t="shared" si="54"/>
        <v>77</v>
      </c>
      <c r="AQ266" s="71">
        <f t="shared" si="43"/>
        <v>76</v>
      </c>
      <c r="AR266" s="71">
        <f t="shared" si="43"/>
        <v>76</v>
      </c>
      <c r="AS266" s="71">
        <f t="shared" si="47"/>
        <v>75</v>
      </c>
      <c r="AT266" s="71">
        <f t="shared" si="48"/>
        <v>72</v>
      </c>
      <c r="AU266" s="71">
        <f t="shared" si="44"/>
        <v>70</v>
      </c>
      <c r="AV266" s="72">
        <f>IF(ROUND(V266/VLOOKUP($C266,CapRate,12),0)&gt;AV265,V266/VLOOKUP($C266,CapRate,12),AV265)</f>
        <v>69</v>
      </c>
      <c r="AW266" s="72">
        <f>IF(ROUND(W266/VLOOKUP($C266,CapRate,13),0)&gt;AW265,W266/VLOOKUP($C266,CapRate,13),AW265)</f>
        <v>67</v>
      </c>
      <c r="AX266" s="72">
        <f>IF(ROUND(X266/VLOOKUP($C266,CapRate,14),0)&gt;AX265,X266/VLOOKUP($C266,CapRate,14),AX265)</f>
        <v>69.541029207232256</v>
      </c>
      <c r="AY266" s="72">
        <f>IF(ROUND(Y266/VLOOKUP($C266,CapRate,15),0)&gt;AY265,Y266/VLOOKUP($C266,CapRate,15),AY265)</f>
        <v>72.777777777777786</v>
      </c>
      <c r="AZ266" s="72">
        <f>IF(ROUND(Z266/VLOOKUP($C266,CapRate,16),0)&gt;AZ265,Z266/VLOOKUP($C266,CapRate,16),AZ265)</f>
        <v>79.583333333333343</v>
      </c>
      <c r="BA266" s="72">
        <f>IF(ROUND(AA266/VLOOKUP($C266,CapRate,17),0)&gt;BA265,AA266/VLOOKUP($C266,CapRate,17),BA265)</f>
        <v>84.466019417475735</v>
      </c>
      <c r="BB266" s="72">
        <f>IF(ROUND(AB266/VLOOKUP($C266,CapRate,18),0)&gt;BB265,AB266/VLOOKUP($C266,CapRate,18),BB265)</f>
        <v>90.492713393476748</v>
      </c>
      <c r="BC266" s="72">
        <f>IF(ROUND(AC266/VLOOKUP($C266,CapRate,19),0)&gt;BC265,AC266/VLOOKUP($C266,CapRate,19),BC265)</f>
        <v>94.934073560027755</v>
      </c>
      <c r="BD266" s="72">
        <f>IF(ROUND(AD266/VLOOKUP($C266,CapRate,20),0)&gt;BD265,AD266/VLOOKUP($C266,CapRate,20),BD265)</f>
        <v>108.83785664578984</v>
      </c>
      <c r="BE266" s="72">
        <f>IF(ROUND(AE266/VLOOKUP($C266,CapRate,21),0)&gt;BE265,AE266/VLOOKUP($C266,CapRate,21),BE265)</f>
        <v>117.21254355400698</v>
      </c>
      <c r="BF266" s="72">
        <f>IF(ROUND(AF266/VLOOKUP($C266,CapRate,22),0)&gt;BF265,AF266/VLOOKUP($C266,CapRate,22),BF265)</f>
        <v>120.25139664804469</v>
      </c>
      <c r="BG266" s="72">
        <f>IF(ROUND(AG266/VLOOKUP($C266,CapRate,23),0)&gt;BG265,AG266/VLOOKUP($C266,CapRate,23),BG265)</f>
        <v>132.84313725490193</v>
      </c>
      <c r="BH266" s="72">
        <f>IF(ROUND(AH266/VLOOKUP($C266,CapRate,24),0)&gt;BH265,AH266/VLOOKUP($C266,CapRate,24),BH265)</f>
        <v>145.57584269662922</v>
      </c>
      <c r="BI266" s="72">
        <f>IF(ROUND(AI266/VLOOKUP($C266,CapRate,25),0)&gt;BI265,AI266/VLOOKUP($C266,CapRate,25),BI265)</f>
        <v>152.64643613267467</v>
      </c>
      <c r="BJ266" s="72">
        <f>IF(ROUND(AJ266/VLOOKUP($C266,CapRate,26),0)&gt;BJ265,AJ266/VLOOKUP($C266,CapRate,26),BJ265)</f>
        <v>160.69405099150143</v>
      </c>
      <c r="BK266" s="87">
        <f t="shared" si="46"/>
        <v>5.2720620688661679E-2</v>
      </c>
      <c r="BL266" s="76"/>
      <c r="BM266" s="77"/>
      <c r="BN266" s="77"/>
      <c r="BO266" s="77"/>
      <c r="BP266" s="77">
        <f>BK266</f>
        <v>5.2720620688661679E-2</v>
      </c>
    </row>
    <row r="267" spans="1:68" ht="15.9" customHeight="1" thickBot="1">
      <c r="A267" s="8" t="s">
        <v>125</v>
      </c>
      <c r="B267" s="22"/>
      <c r="C267" s="90" t="s">
        <v>134</v>
      </c>
      <c r="D267" s="91"/>
      <c r="E267" s="90" t="s">
        <v>40</v>
      </c>
      <c r="F267" s="190">
        <f>[1]AcreSummary!J77</f>
        <v>0.61141085763320824</v>
      </c>
      <c r="G267" s="191"/>
      <c r="H267" s="94"/>
      <c r="I267" s="95">
        <f>[1]Dry!E77</f>
        <v>28.96</v>
      </c>
      <c r="J267" s="96">
        <f>[1]Dry!F77</f>
        <v>28.92</v>
      </c>
      <c r="K267" s="97">
        <f>[1]Dry!G77</f>
        <v>29.48</v>
      </c>
      <c r="L267" s="98">
        <f>[1]Dry!H77</f>
        <v>31</v>
      </c>
      <c r="M267" s="96">
        <f>[1]Dry!I77</f>
        <v>32.57</v>
      </c>
      <c r="N267" s="99">
        <f>[1]Dry!J77</f>
        <v>34.22</v>
      </c>
      <c r="O267" s="100">
        <v>33.659999999999997</v>
      </c>
      <c r="P267" s="99">
        <f>[1]Dry!K77</f>
        <v>34.950000000000003</v>
      </c>
      <c r="Q267" s="101">
        <f>[1]Dry!L77</f>
        <v>36.18</v>
      </c>
      <c r="R267" s="221">
        <f>Q267*0.95</f>
        <v>34.370999999999995</v>
      </c>
      <c r="S267" s="103">
        <f>[1]Dry!N77</f>
        <v>35.99</v>
      </c>
      <c r="T267" s="104">
        <f>[1]Dry!O77</f>
        <v>35.65</v>
      </c>
      <c r="U267" s="105">
        <f>[1]Dry!P77</f>
        <v>31.13</v>
      </c>
      <c r="V267" s="98">
        <f>[1]Dry!Q77</f>
        <v>27.22</v>
      </c>
      <c r="W267" s="98">
        <f>[1]Dry!R77</f>
        <v>32.79</v>
      </c>
      <c r="X267" s="98">
        <f>[1]Dry!S77</f>
        <v>40.119999999999997</v>
      </c>
      <c r="Y267" s="98">
        <f>[1]Dry!T77</f>
        <v>49.07</v>
      </c>
      <c r="Z267" s="98">
        <v>61.51</v>
      </c>
      <c r="AA267" s="98">
        <v>75.38</v>
      </c>
      <c r="AB267" s="98">
        <v>88.63</v>
      </c>
      <c r="AC267" s="98">
        <v>102.07</v>
      </c>
      <c r="AD267" s="98">
        <v>112.15</v>
      </c>
      <c r="AE267" s="98">
        <v>120.32</v>
      </c>
      <c r="AF267" s="98">
        <v>124.13</v>
      </c>
      <c r="AG267" s="106">
        <v>126.51</v>
      </c>
      <c r="AH267" s="107">
        <v>119.16</v>
      </c>
      <c r="AI267" s="107">
        <v>103.92</v>
      </c>
      <c r="AJ267" s="107">
        <v>88.33</v>
      </c>
      <c r="AK267" s="90">
        <f t="shared" si="49"/>
        <v>196</v>
      </c>
      <c r="AL267" s="90">
        <f t="shared" si="50"/>
        <v>199</v>
      </c>
      <c r="AM267" s="108">
        <f t="shared" si="51"/>
        <v>207</v>
      </c>
      <c r="AN267" s="91">
        <f t="shared" si="52"/>
        <v>222</v>
      </c>
      <c r="AO267" s="108">
        <f t="shared" si="53"/>
        <v>238</v>
      </c>
      <c r="AP267" s="109">
        <f t="shared" si="54"/>
        <v>251</v>
      </c>
      <c r="AQ267" s="110">
        <f t="shared" si="43"/>
        <v>258</v>
      </c>
      <c r="AR267" s="222">
        <f t="shared" si="43"/>
        <v>245</v>
      </c>
      <c r="AS267" s="110">
        <f t="shared" si="47"/>
        <v>257</v>
      </c>
      <c r="AT267" s="110">
        <f t="shared" si="48"/>
        <v>253</v>
      </c>
      <c r="AU267" s="110">
        <f t="shared" si="44"/>
        <v>221</v>
      </c>
      <c r="AV267" s="109">
        <f t="shared" si="45"/>
        <v>189</v>
      </c>
      <c r="AW267" s="109">
        <f>ROUND(W267/VLOOKUP($C267,CapRate,13),0)</f>
        <v>228</v>
      </c>
      <c r="AX267" s="72">
        <f>ROUND(X267/VLOOKUP($C267,CapRate,14),0)</f>
        <v>279</v>
      </c>
      <c r="AY267" s="72">
        <f>ROUND(Y267/VLOOKUP($C267,CapRate,15),0)</f>
        <v>341</v>
      </c>
      <c r="AZ267" s="72">
        <f>ROUND(Z267/VLOOKUP($C267,CapRate,16),0)</f>
        <v>427</v>
      </c>
      <c r="BA267" s="72">
        <f>ROUND(AA267/VLOOKUP($C267,CapRate,17),0)</f>
        <v>523</v>
      </c>
      <c r="BB267" s="72">
        <f>ROUND(AB267/VLOOKUP($C267,CapRate,18),0)</f>
        <v>615</v>
      </c>
      <c r="BC267" s="72">
        <f>ROUND(AC267/VLOOKUP($C267,CapRate,19),0)</f>
        <v>708</v>
      </c>
      <c r="BD267" s="72">
        <f>ROUND(AD267/VLOOKUP($C267,CapRate,20),0)</f>
        <v>780</v>
      </c>
      <c r="BE267" s="72">
        <f>ROUND(AE267/VLOOKUP($C267,CapRate,21),0)</f>
        <v>838</v>
      </c>
      <c r="BF267" s="72">
        <f>ROUND(AF267/VLOOKUP($C267,CapRate,22),0)</f>
        <v>867</v>
      </c>
      <c r="BG267" s="72">
        <f>ROUND(AG267/VLOOKUP($C267,CapRate,23),0)</f>
        <v>886</v>
      </c>
      <c r="BH267" s="72">
        <f>ROUND(AH267/VLOOKUP($C267,CapRate,24),0)</f>
        <v>837</v>
      </c>
      <c r="BI267" s="72">
        <f>ROUND(AI267/VLOOKUP($C267,CapRate,25),0)</f>
        <v>733</v>
      </c>
      <c r="BJ267" s="72">
        <f>ROUND(AJ267/VLOOKUP($C267,CapRate,26),0)</f>
        <v>626</v>
      </c>
      <c r="BK267" s="87">
        <f t="shared" si="46"/>
        <v>-0.14597544338335611</v>
      </c>
      <c r="BL267" s="114">
        <f>((F265*BK265)+(F266*BK266)+(F267*BK267))</f>
        <v>-7.6501756529188808E-2</v>
      </c>
      <c r="BM267" s="77"/>
      <c r="BN267" s="77">
        <f>BK267</f>
        <v>-0.14597544338335611</v>
      </c>
      <c r="BO267" s="77"/>
      <c r="BP267" s="77"/>
    </row>
    <row r="268" spans="1:68" ht="15.9" customHeight="1" thickTop="1">
      <c r="A268" s="8" t="s">
        <v>125</v>
      </c>
      <c r="B268" s="22"/>
      <c r="C268" s="8" t="s">
        <v>135</v>
      </c>
      <c r="D268" s="23" t="s">
        <v>135</v>
      </c>
      <c r="E268" s="8" t="s">
        <v>39</v>
      </c>
      <c r="F268" s="188">
        <f>[1]AcreSummary!M78</f>
        <v>0.74924787138021187</v>
      </c>
      <c r="G268" s="25"/>
      <c r="H268" s="117"/>
      <c r="I268" s="57">
        <f>[1]Native!E76</f>
        <v>8.15</v>
      </c>
      <c r="J268" s="58">
        <f>[1]Native!F76</f>
        <v>8.8699999999999992</v>
      </c>
      <c r="K268" s="80">
        <f>[1]Native!G76</f>
        <v>9.0299999999999994</v>
      </c>
      <c r="L268" s="68">
        <f>[1]Native!H76</f>
        <v>8.81</v>
      </c>
      <c r="M268" s="58">
        <f>[1]Native!I76</f>
        <v>8.9499999999999993</v>
      </c>
      <c r="N268" s="81">
        <f>[1]Native!J76</f>
        <v>8.7899999999999991</v>
      </c>
      <c r="O268" s="62">
        <v>7.93</v>
      </c>
      <c r="P268" s="81">
        <f>[1]Native!K76</f>
        <v>8.57</v>
      </c>
      <c r="Q268" s="82">
        <f>[1]Native!L76</f>
        <v>8.5399999999999991</v>
      </c>
      <c r="R268" s="83">
        <v>8.5399999999999991</v>
      </c>
      <c r="S268" s="84">
        <f>[1]Native!M76</f>
        <v>8.6</v>
      </c>
      <c r="T268" s="66">
        <f>[1]Native!N76</f>
        <v>8.41</v>
      </c>
      <c r="U268" s="67">
        <f>[1]Native!O76</f>
        <v>8.23</v>
      </c>
      <c r="V268" s="68">
        <f>[1]Native!P76</f>
        <v>8</v>
      </c>
      <c r="W268" s="68">
        <f>[1]Native!Q76</f>
        <v>7.66</v>
      </c>
      <c r="X268" s="68">
        <v>8.4600000000000009</v>
      </c>
      <c r="Y268" s="68">
        <v>8.82</v>
      </c>
      <c r="Z268" s="68">
        <v>9.7100000000000009</v>
      </c>
      <c r="AA268" s="68">
        <v>10.37</v>
      </c>
      <c r="AB268" s="68">
        <v>11.18</v>
      </c>
      <c r="AC268" s="68">
        <v>11.78</v>
      </c>
      <c r="AD268" s="68">
        <v>13.42</v>
      </c>
      <c r="AE268" s="68">
        <v>14.36</v>
      </c>
      <c r="AF268" s="68">
        <v>14.89</v>
      </c>
      <c r="AG268" s="69">
        <v>15.37</v>
      </c>
      <c r="AH268" s="70">
        <v>15.67</v>
      </c>
      <c r="AI268" s="70">
        <v>15.65</v>
      </c>
      <c r="AJ268" s="70">
        <v>15.78</v>
      </c>
      <c r="AK268" s="8">
        <f t="shared" si="49"/>
        <v>64</v>
      </c>
      <c r="AL268" s="8">
        <f t="shared" si="50"/>
        <v>64</v>
      </c>
      <c r="AM268" s="85">
        <f t="shared" si="51"/>
        <v>62</v>
      </c>
      <c r="AN268" s="23">
        <f t="shared" si="52"/>
        <v>64</v>
      </c>
      <c r="AO268" s="85">
        <f t="shared" si="53"/>
        <v>59</v>
      </c>
      <c r="AP268" s="72">
        <f t="shared" si="54"/>
        <v>65</v>
      </c>
      <c r="AQ268" s="71">
        <f t="shared" si="43"/>
        <v>64</v>
      </c>
      <c r="AR268" s="71">
        <f t="shared" si="43"/>
        <v>64</v>
      </c>
      <c r="AS268" s="71">
        <f t="shared" si="47"/>
        <v>65</v>
      </c>
      <c r="AT268" s="71">
        <f t="shared" si="48"/>
        <v>64</v>
      </c>
      <c r="AU268" s="71">
        <f t="shared" si="44"/>
        <v>63</v>
      </c>
      <c r="AV268" s="72">
        <f t="shared" si="45"/>
        <v>60</v>
      </c>
      <c r="AW268" s="72">
        <f>ROUND(W268/VLOOKUP($C268,CapRate,13),0)</f>
        <v>57</v>
      </c>
      <c r="AX268" s="122">
        <f>IF(ROUND(X268/VLOOKUP($C268,CapRate,14),0)&gt;10,X268/VLOOKUP($C268,CapRate,14),10)</f>
        <v>63.275991024682128</v>
      </c>
      <c r="AY268" s="122">
        <f>IF(ROUND(Y268/VLOOKUP($C268,CapRate,15),0)&gt;10,Y268/VLOOKUP($C268,CapRate,15),10)</f>
        <v>65.673864482501855</v>
      </c>
      <c r="AZ268" s="122">
        <f>IF(ROUND(Z268/VLOOKUP($C268,CapRate,16),0)&gt;10,Z268/VLOOKUP($C268,CapRate,16),10)</f>
        <v>72.247023809523824</v>
      </c>
      <c r="BA268" s="122">
        <f>IF(ROUND(AA268/VLOOKUP($C268,CapRate,17),0)&gt;10,AA268/VLOOKUP($C268,CapRate,17),10)</f>
        <v>76.81481481481481</v>
      </c>
      <c r="BB268" s="122">
        <f>IF(ROUND(AB268/VLOOKUP($C268,CapRate,18),0)&gt;10,AB268/VLOOKUP($C268,CapRate,18),10)</f>
        <v>82.692307692307693</v>
      </c>
      <c r="BC268" s="122">
        <f>IF(ROUND(AC268/VLOOKUP($C268,CapRate,19),0)&gt;10,AC268/VLOOKUP($C268,CapRate,19),10)</f>
        <v>87.001477104874439</v>
      </c>
      <c r="BD268" s="122">
        <f>IF(ROUND(AD268/VLOOKUP($C268,CapRate,20),0)&gt;10,AD268/VLOOKUP($C268,CapRate,20),10)</f>
        <v>98.967551622418881</v>
      </c>
      <c r="BE268" s="122">
        <f>IF(ROUND(AE268/VLOOKUP($C268,CapRate,21),0)&gt;10,AE268/VLOOKUP($C268,CapRate,21),10)</f>
        <v>105.74374079528718</v>
      </c>
      <c r="BF268" s="122">
        <f>IF(ROUND(AF268/VLOOKUP($C268,CapRate,22),0)&gt;10,AF268/VLOOKUP($C268,CapRate,22),10)</f>
        <v>109.48529411764706</v>
      </c>
      <c r="BG268" s="122">
        <f>IF(ROUND(AG268/VLOOKUP($C268,CapRate,23),0)&gt;10,AG268/VLOOKUP($C268,CapRate,23),10)</f>
        <v>112.93166789125642</v>
      </c>
      <c r="BH268" s="122">
        <f>IF(ROUND(AH268/VLOOKUP($C268,CapRate,24),0)&gt;10,AH268/VLOOKUP($C268,CapRate,24),10)</f>
        <v>114.96698459280998</v>
      </c>
      <c r="BI268" s="122">
        <v>115</v>
      </c>
      <c r="BJ268" s="122">
        <v>115</v>
      </c>
      <c r="BK268" s="75">
        <f t="shared" si="46"/>
        <v>0</v>
      </c>
      <c r="BL268" s="76"/>
      <c r="BM268" s="223">
        <f>BK268</f>
        <v>0</v>
      </c>
      <c r="BN268" s="220"/>
      <c r="BO268" s="220"/>
      <c r="BP268" s="220"/>
    </row>
    <row r="269" spans="1:68" ht="15.9" customHeight="1">
      <c r="A269" s="8"/>
      <c r="B269" s="22"/>
      <c r="C269" s="8" t="s">
        <v>135</v>
      </c>
      <c r="D269" s="23"/>
      <c r="E269" s="8" t="s">
        <v>85</v>
      </c>
      <c r="F269" s="188">
        <f>[1]AcreSummary!L78</f>
        <v>3.2446165435970238E-2</v>
      </c>
      <c r="G269" s="25"/>
      <c r="H269" s="117"/>
      <c r="I269" s="57"/>
      <c r="J269" s="58">
        <f>[1]Tame!D45</f>
        <v>12.93</v>
      </c>
      <c r="K269" s="80">
        <f>[1]Tame!E45</f>
        <v>13.13</v>
      </c>
      <c r="L269" s="68">
        <f>[1]Tame!F45</f>
        <v>12.72</v>
      </c>
      <c r="M269" s="58">
        <f>[1]Tame!G45</f>
        <v>12.53</v>
      </c>
      <c r="N269" s="81">
        <f>[1]Tame!H45</f>
        <v>11.93</v>
      </c>
      <c r="O269" s="62">
        <v>11.53</v>
      </c>
      <c r="P269" s="81">
        <f>[1]Tame!I45</f>
        <v>11.1</v>
      </c>
      <c r="Q269" s="82">
        <f>[1]Tame!J45</f>
        <v>10.96</v>
      </c>
      <c r="R269" s="83">
        <v>10.96</v>
      </c>
      <c r="S269" s="84">
        <f>[1]Tame!K45</f>
        <v>10.56</v>
      </c>
      <c r="T269" s="66">
        <f>[1]Tame!L45</f>
        <v>9.4</v>
      </c>
      <c r="U269" s="67">
        <f>[1]Tame!M45</f>
        <v>9.0299999999999994</v>
      </c>
      <c r="V269" s="68">
        <f>[1]Tame!N45</f>
        <v>9.64</v>
      </c>
      <c r="W269" s="68">
        <f>[1]Tame!O45</f>
        <v>9.2100000000000009</v>
      </c>
      <c r="X269" s="68">
        <v>9.52</v>
      </c>
      <c r="Y269" s="68">
        <v>9.6</v>
      </c>
      <c r="Z269" s="68">
        <v>9.58</v>
      </c>
      <c r="AA269" s="68">
        <v>10.7</v>
      </c>
      <c r="AB269" s="68">
        <v>11.83</v>
      </c>
      <c r="AC269" s="68">
        <v>12.62</v>
      </c>
      <c r="AD269" s="68">
        <v>14.86</v>
      </c>
      <c r="AE269" s="68">
        <v>17.32</v>
      </c>
      <c r="AF269" s="68">
        <v>18.96</v>
      </c>
      <c r="AG269" s="69">
        <v>20.86</v>
      </c>
      <c r="AH269" s="70">
        <v>22.64</v>
      </c>
      <c r="AI269" s="70">
        <v>23.6</v>
      </c>
      <c r="AJ269" s="70">
        <v>24.72</v>
      </c>
      <c r="AK269" s="8">
        <f>ROUND(J269/VLOOKUP($C269,CapRate,2),0)</f>
        <v>93</v>
      </c>
      <c r="AL269" s="8">
        <f>ROUND(K269/VLOOKUP($C269,CapRate,3),0)</f>
        <v>93</v>
      </c>
      <c r="AM269" s="85">
        <f>ROUND(L269/VLOOKUP($C269,CapRate,4),0)</f>
        <v>89</v>
      </c>
      <c r="AN269" s="23">
        <f>ROUND(M269/VLOOKUP($C269,CapRate,5),0)</f>
        <v>89</v>
      </c>
      <c r="AO269" s="85">
        <f t="shared" si="53"/>
        <v>86</v>
      </c>
      <c r="AP269" s="72">
        <f t="shared" si="54"/>
        <v>84</v>
      </c>
      <c r="AQ269" s="71">
        <f t="shared" si="43"/>
        <v>83</v>
      </c>
      <c r="AR269" s="71">
        <f t="shared" si="43"/>
        <v>83</v>
      </c>
      <c r="AS269" s="71">
        <f t="shared" si="47"/>
        <v>80</v>
      </c>
      <c r="AT269" s="71">
        <f t="shared" si="48"/>
        <v>71</v>
      </c>
      <c r="AU269" s="71">
        <f t="shared" si="44"/>
        <v>69</v>
      </c>
      <c r="AV269" s="72">
        <f t="shared" si="45"/>
        <v>72</v>
      </c>
      <c r="AW269" s="72">
        <f>IF(ROUND(W269/VLOOKUP($C269,CapRate,13),0)&gt;AW268,W269/VLOOKUP($C269,CapRate,13),AW268)</f>
        <v>68.988764044943821</v>
      </c>
      <c r="AX269" s="72">
        <f>IF(ROUND(X269/VLOOKUP($C269,CapRate,14),0)&gt;AX268,X269/VLOOKUP($C269,CapRate,14),AX268)</f>
        <v>71.204188481675388</v>
      </c>
      <c r="AY269" s="72">
        <f>IF(ROUND(Y269/VLOOKUP($C269,CapRate,15),0)&gt;AY268,Y269/VLOOKUP($C269,CapRate,15),AY268)</f>
        <v>71.481757259865972</v>
      </c>
      <c r="AZ269" s="72">
        <f>IF(ROUND(Z269/VLOOKUP($C269,CapRate,16),0)&gt;AZ268,Z269/VLOOKUP($C269,CapRate,16),AZ268)</f>
        <v>72.247023809523824</v>
      </c>
      <c r="BA269" s="72">
        <f>IF(ROUND(AA269/VLOOKUP($C269,CapRate,17),0)&gt;BA268,AA269/VLOOKUP($C269,CapRate,17),BA268)</f>
        <v>79.259259259259252</v>
      </c>
      <c r="BB269" s="72">
        <f>IF(ROUND(AB269/VLOOKUP($C269,CapRate,18),0)&gt;BB268,AB269/VLOOKUP($C269,CapRate,18),BB268)</f>
        <v>87.500000000000014</v>
      </c>
      <c r="BC269" s="72">
        <f>IF(ROUND(AC269/VLOOKUP($C269,CapRate,19),0)&gt;BC268,AC269/VLOOKUP($C269,CapRate,19),BC268)</f>
        <v>93.205317577548001</v>
      </c>
      <c r="BD269" s="72">
        <f>IF(ROUND(AD269/VLOOKUP($C269,CapRate,20),0)&gt;BD268,AD269/VLOOKUP($C269,CapRate,20),BD268)</f>
        <v>109.58702064896755</v>
      </c>
      <c r="BE269" s="72">
        <f>IF(ROUND(AE269/VLOOKUP($C269,CapRate,21),0)&gt;BE268,AE269/VLOOKUP($C269,CapRate,21),BE268)</f>
        <v>127.54050073637703</v>
      </c>
      <c r="BF269" s="72">
        <f>IF(ROUND(AF269/VLOOKUP($C269,CapRate,22),0)&gt;BF268,AF269/VLOOKUP($C269,CapRate,22),BF268)</f>
        <v>139.41176470588235</v>
      </c>
      <c r="BG269" s="72">
        <f>IF(ROUND(AG269/VLOOKUP($C269,CapRate,23),0)&gt;BG268,AG269/VLOOKUP($C269,CapRate,23),BG268)</f>
        <v>153.269654665687</v>
      </c>
      <c r="BH269" s="72">
        <f>IF(ROUND(AH269/VLOOKUP($C269,CapRate,24),0)&gt;BH268,AH269/VLOOKUP($C269,CapRate,24),BH268)</f>
        <v>166.1041819515774</v>
      </c>
      <c r="BI269" s="72">
        <f>IF(ROUND(AI269/VLOOKUP($C269,CapRate,25),0)&gt;BI268,AI269/VLOOKUP($C269,CapRate,25),BI268)</f>
        <v>172.76720351390924</v>
      </c>
      <c r="BJ269" s="72">
        <f>IF(ROUND(AJ269/VLOOKUP($C269,CapRate,26),0)&gt;BJ268,AJ269/VLOOKUP($C269,CapRate,26),BJ268)</f>
        <v>180.56975894813732</v>
      </c>
      <c r="BK269" s="87">
        <f t="shared" si="46"/>
        <v>4.5162248826930318E-2</v>
      </c>
      <c r="BL269" s="76"/>
      <c r="BM269" s="77"/>
      <c r="BN269" s="77"/>
      <c r="BO269" s="77"/>
      <c r="BP269" s="77">
        <f>BK269</f>
        <v>4.5162248826930318E-2</v>
      </c>
    </row>
    <row r="270" spans="1:68" ht="15.9" customHeight="1" thickBot="1">
      <c r="A270" s="8" t="s">
        <v>125</v>
      </c>
      <c r="B270" s="22"/>
      <c r="C270" s="90" t="s">
        <v>135</v>
      </c>
      <c r="D270" s="91"/>
      <c r="E270" s="90" t="s">
        <v>40</v>
      </c>
      <c r="F270" s="190">
        <f>[1]AcreSummary!J78</f>
        <v>0.18219245404110501</v>
      </c>
      <c r="G270" s="191"/>
      <c r="H270" s="94"/>
      <c r="I270" s="95">
        <f>[1]Dry!E78</f>
        <v>33.619999999999997</v>
      </c>
      <c r="J270" s="96">
        <f>[1]Dry!F78</f>
        <v>34.21</v>
      </c>
      <c r="K270" s="97">
        <f>[1]Dry!G78</f>
        <v>35.07</v>
      </c>
      <c r="L270" s="98">
        <f>[1]Dry!H78</f>
        <v>36.549999999999997</v>
      </c>
      <c r="M270" s="96">
        <f>[1]Dry!I78</f>
        <v>37.950000000000003</v>
      </c>
      <c r="N270" s="99">
        <f>[1]Dry!J78</f>
        <v>39.67</v>
      </c>
      <c r="O270" s="100">
        <v>39.229999999999997</v>
      </c>
      <c r="P270" s="99">
        <f>[1]Dry!K78</f>
        <v>39.880000000000003</v>
      </c>
      <c r="Q270" s="101">
        <f>[1]Dry!L78</f>
        <v>40.46</v>
      </c>
      <c r="R270" s="221">
        <f>Q270*0.95</f>
        <v>38.436999999999998</v>
      </c>
      <c r="S270" s="103">
        <f>[1]Dry!N78</f>
        <v>39.9</v>
      </c>
      <c r="T270" s="104">
        <f>[1]Dry!O78</f>
        <v>39.22</v>
      </c>
      <c r="U270" s="105">
        <f>[1]Dry!P78</f>
        <v>36.85</v>
      </c>
      <c r="V270" s="98">
        <f>[1]Dry!Q78</f>
        <v>32.31</v>
      </c>
      <c r="W270" s="98">
        <f>[1]Dry!R78</f>
        <v>36.99</v>
      </c>
      <c r="X270" s="98">
        <f>[1]Dry!S78</f>
        <v>43.13</v>
      </c>
      <c r="Y270" s="98">
        <f>[1]Dry!T78</f>
        <v>51.18</v>
      </c>
      <c r="Z270" s="98">
        <v>60.87</v>
      </c>
      <c r="AA270" s="98">
        <v>71.7</v>
      </c>
      <c r="AB270" s="98">
        <v>83.98</v>
      </c>
      <c r="AC270" s="98">
        <v>95.26</v>
      </c>
      <c r="AD270" s="98">
        <v>103.61</v>
      </c>
      <c r="AE270" s="98">
        <v>110.43</v>
      </c>
      <c r="AF270" s="98">
        <v>114.56</v>
      </c>
      <c r="AG270" s="106">
        <v>117.33</v>
      </c>
      <c r="AH270" s="107">
        <v>112.73</v>
      </c>
      <c r="AI270" s="107">
        <v>100.97</v>
      </c>
      <c r="AJ270" s="107">
        <v>87.07</v>
      </c>
      <c r="AK270" s="90">
        <f t="shared" si="49"/>
        <v>245</v>
      </c>
      <c r="AL270" s="90">
        <f t="shared" si="50"/>
        <v>249</v>
      </c>
      <c r="AM270" s="108">
        <f t="shared" si="51"/>
        <v>256</v>
      </c>
      <c r="AN270" s="91">
        <f t="shared" si="52"/>
        <v>271</v>
      </c>
      <c r="AO270" s="108">
        <f t="shared" si="53"/>
        <v>291</v>
      </c>
      <c r="AP270" s="109">
        <f t="shared" si="54"/>
        <v>301</v>
      </c>
      <c r="AQ270" s="110">
        <f t="shared" si="43"/>
        <v>305</v>
      </c>
      <c r="AR270" s="222">
        <f t="shared" si="43"/>
        <v>290</v>
      </c>
      <c r="AS270" s="110">
        <f t="shared" si="47"/>
        <v>301</v>
      </c>
      <c r="AT270" s="110">
        <f t="shared" si="48"/>
        <v>297</v>
      </c>
      <c r="AU270" s="110">
        <f t="shared" si="44"/>
        <v>280</v>
      </c>
      <c r="AV270" s="109">
        <f t="shared" si="45"/>
        <v>243</v>
      </c>
      <c r="AW270" s="109">
        <f>ROUND(W270/VLOOKUP($C270,CapRate,13),0)</f>
        <v>277</v>
      </c>
      <c r="AX270" s="109">
        <f>ROUND(X270/VLOOKUP($C270,CapRate,14),0)</f>
        <v>323</v>
      </c>
      <c r="AY270" s="109">
        <f>ROUND(Y270/VLOOKUP($C270,CapRate,15),0)</f>
        <v>381</v>
      </c>
      <c r="AZ270" s="109">
        <f>ROUND(Z270/VLOOKUP($C270,CapRate,16),0)</f>
        <v>453</v>
      </c>
      <c r="BA270" s="109">
        <f>ROUND(AA270/VLOOKUP($C270,CapRate,17),0)</f>
        <v>531</v>
      </c>
      <c r="BB270" s="109">
        <f>ROUND(AB270/VLOOKUP($C270,CapRate,18),0)</f>
        <v>621</v>
      </c>
      <c r="BC270" s="109">
        <f>ROUND(AC270/VLOOKUP($C270,CapRate,19),0)</f>
        <v>704</v>
      </c>
      <c r="BD270" s="109">
        <f>ROUND(AD270/VLOOKUP($C270,CapRate,20),0)</f>
        <v>764</v>
      </c>
      <c r="BE270" s="109">
        <f>ROUND(AE270/VLOOKUP($C270,CapRate,21),0)</f>
        <v>813</v>
      </c>
      <c r="BF270" s="109">
        <f>ROUND(AF270/VLOOKUP($C270,CapRate,22),0)</f>
        <v>842</v>
      </c>
      <c r="BG270" s="109">
        <f>ROUND(AG270/VLOOKUP($C270,CapRate,23),0)</f>
        <v>862</v>
      </c>
      <c r="BH270" s="109">
        <f>ROUND(AH270/VLOOKUP($C270,CapRate,24),0)</f>
        <v>827</v>
      </c>
      <c r="BI270" s="109">
        <f>ROUND(AI270/VLOOKUP($C270,CapRate,25),0)</f>
        <v>739</v>
      </c>
      <c r="BJ270" s="109">
        <f>ROUND(AJ270/VLOOKUP($C270,CapRate,26),0)</f>
        <v>636</v>
      </c>
      <c r="BK270" s="87">
        <f t="shared" si="46"/>
        <v>-0.13937753721244928</v>
      </c>
      <c r="BL270" s="114">
        <f>((F268*BK268)+(F269*BK269)+(F270*BK270))</f>
        <v>-2.3928193746042534E-2</v>
      </c>
      <c r="BM270" s="77"/>
      <c r="BN270" s="77">
        <f>BK270</f>
        <v>-0.13937753721244928</v>
      </c>
      <c r="BO270" s="77"/>
      <c r="BP270" s="77"/>
    </row>
    <row r="271" spans="1:68" ht="15.9" customHeight="1" thickTop="1">
      <c r="A271" s="8" t="s">
        <v>125</v>
      </c>
      <c r="B271" s="22"/>
      <c r="C271" s="14" t="s">
        <v>136</v>
      </c>
      <c r="D271" s="23" t="s">
        <v>136</v>
      </c>
      <c r="E271" s="8" t="s">
        <v>39</v>
      </c>
      <c r="F271" s="188">
        <f>[1]AcreSummary!M79</f>
        <v>0.60616218796430088</v>
      </c>
      <c r="G271" s="25"/>
      <c r="H271" s="117"/>
      <c r="I271" s="57">
        <f>[1]Native!E77</f>
        <v>7.94</v>
      </c>
      <c r="J271" s="58">
        <f>[1]Native!F77</f>
        <v>7.83</v>
      </c>
      <c r="K271" s="80">
        <f>[1]Native!G77</f>
        <v>7.97</v>
      </c>
      <c r="L271" s="68">
        <f>[1]Native!H77</f>
        <v>7.69</v>
      </c>
      <c r="M271" s="58">
        <f>[1]Native!I77</f>
        <v>7.74</v>
      </c>
      <c r="N271" s="81">
        <f>[1]Native!J77</f>
        <v>7.49</v>
      </c>
      <c r="O271" s="62">
        <v>6.92</v>
      </c>
      <c r="P271" s="81">
        <f>[1]Native!K77</f>
        <v>7.24</v>
      </c>
      <c r="Q271" s="82">
        <f>[1]Native!L77</f>
        <v>7.17</v>
      </c>
      <c r="R271" s="83">
        <v>7.17</v>
      </c>
      <c r="S271" s="84">
        <f>[1]Native!M77</f>
        <v>7.04</v>
      </c>
      <c r="T271" s="66">
        <f>[1]Native!N77</f>
        <v>7.36</v>
      </c>
      <c r="U271" s="67">
        <f>[1]Native!O77</f>
        <v>7.16</v>
      </c>
      <c r="V271" s="68">
        <f>[1]Native!P77</f>
        <v>7.38</v>
      </c>
      <c r="W271" s="68">
        <f>[1]Native!Q77</f>
        <v>6.97</v>
      </c>
      <c r="X271" s="68">
        <v>7.03</v>
      </c>
      <c r="Y271" s="68">
        <v>7.37</v>
      </c>
      <c r="Z271" s="68">
        <v>8.1999999999999993</v>
      </c>
      <c r="AA271" s="68">
        <v>8.86</v>
      </c>
      <c r="AB271" s="68">
        <v>9.6300000000000008</v>
      </c>
      <c r="AC271" s="68">
        <v>10.18</v>
      </c>
      <c r="AD271" s="68">
        <v>11.78</v>
      </c>
      <c r="AE271" s="68">
        <v>12.9</v>
      </c>
      <c r="AF271" s="68">
        <v>13.23</v>
      </c>
      <c r="AG271" s="69">
        <v>13.69</v>
      </c>
      <c r="AH271" s="70">
        <v>13.98</v>
      </c>
      <c r="AI271" s="70">
        <v>13.91</v>
      </c>
      <c r="AJ271" s="70">
        <v>14.02</v>
      </c>
      <c r="AK271" s="8">
        <f t="shared" si="49"/>
        <v>53</v>
      </c>
      <c r="AL271" s="8">
        <f t="shared" si="50"/>
        <v>54</v>
      </c>
      <c r="AM271" s="85">
        <f t="shared" si="51"/>
        <v>52</v>
      </c>
      <c r="AN271" s="23">
        <f t="shared" si="52"/>
        <v>53</v>
      </c>
      <c r="AO271" s="85">
        <f t="shared" si="53"/>
        <v>50</v>
      </c>
      <c r="AP271" s="72">
        <f t="shared" si="54"/>
        <v>53</v>
      </c>
      <c r="AQ271" s="71">
        <f t="shared" si="43"/>
        <v>52</v>
      </c>
      <c r="AR271" s="71">
        <f t="shared" si="43"/>
        <v>52</v>
      </c>
      <c r="AS271" s="71">
        <f t="shared" si="47"/>
        <v>51</v>
      </c>
      <c r="AT271" s="71">
        <f t="shared" si="48"/>
        <v>53</v>
      </c>
      <c r="AU271" s="71">
        <f t="shared" si="44"/>
        <v>52</v>
      </c>
      <c r="AV271" s="72">
        <f t="shared" si="45"/>
        <v>54</v>
      </c>
      <c r="AW271" s="72">
        <f>ROUND(W271/VLOOKUP($C271,CapRate,13),0)</f>
        <v>51</v>
      </c>
      <c r="AX271" s="72">
        <f>ROUND(X271/VLOOKUP($C271,CapRate,14),0)</f>
        <v>51</v>
      </c>
      <c r="AY271" s="72">
        <f>ROUND(Y271/VLOOKUP($C271,CapRate,15),0)</f>
        <v>53</v>
      </c>
      <c r="AZ271" s="72">
        <f>ROUND(Z271/VLOOKUP($C271,CapRate,16),0)</f>
        <v>59</v>
      </c>
      <c r="BA271" s="72">
        <f>ROUND(AA271/VLOOKUP($C271,CapRate,17),0)</f>
        <v>64</v>
      </c>
      <c r="BB271" s="72">
        <f>ROUND(AB271/VLOOKUP($C271,CapRate,18),0)</f>
        <v>69</v>
      </c>
      <c r="BC271" s="72">
        <f>ROUND(AC271/VLOOKUP($C271,CapRate,19),0)</f>
        <v>72</v>
      </c>
      <c r="BD271" s="72">
        <f>ROUND(AD271/VLOOKUP($C271,CapRate,20),0)</f>
        <v>83</v>
      </c>
      <c r="BE271" s="72">
        <f>ROUND(AE271/VLOOKUP($C271,CapRate,21),0)</f>
        <v>91</v>
      </c>
      <c r="BF271" s="72">
        <f>IF(ROUND(AF271/VLOOKUP($C271,CapRate,22),0)&gt;10,AF271/VLOOKUP($C271,CapRate,22),10)</f>
        <v>93.103448275862064</v>
      </c>
      <c r="BG271" s="72">
        <f>IF(ROUND(AG271/VLOOKUP($C271,CapRate,23),0)&gt;10,AG271/VLOOKUP($C271,CapRate,23),10)</f>
        <v>95.868347338935564</v>
      </c>
      <c r="BH271" s="72">
        <f>IF(ROUND(AH271/VLOOKUP($C271,CapRate,24),0)&gt;10,AH271/VLOOKUP($C271,CapRate,24),10)</f>
        <v>97.42160278745645</v>
      </c>
      <c r="BI271" s="72">
        <f>IF(ROUND(AI271/VLOOKUP($C271,CapRate,25),0)&gt;10,AI271/VLOOKUP($C271,CapRate,25),10)</f>
        <v>96.530187369882029</v>
      </c>
      <c r="BJ271" s="72">
        <f>IF(ROUND(AJ271/VLOOKUP($C271,CapRate,26),0)&gt;10,AJ271/VLOOKUP($C271,CapRate,26),10)</f>
        <v>96.890117484450585</v>
      </c>
      <c r="BK271" s="75">
        <f t="shared" si="46"/>
        <v>3.7286793320869815E-3</v>
      </c>
      <c r="BL271" s="76"/>
      <c r="BM271" s="219">
        <f>BK271</f>
        <v>3.7286793320869815E-3</v>
      </c>
      <c r="BN271" s="220"/>
      <c r="BO271" s="220"/>
      <c r="BP271" s="220"/>
    </row>
    <row r="272" spans="1:68" ht="15.9" customHeight="1">
      <c r="A272" s="8"/>
      <c r="B272" s="22"/>
      <c r="C272" s="8" t="s">
        <v>136</v>
      </c>
      <c r="D272" s="23"/>
      <c r="E272" s="8" t="s">
        <v>85</v>
      </c>
      <c r="F272" s="188">
        <f>[1]AcreSummary!L79</f>
        <v>2.5731684694678934E-2</v>
      </c>
      <c r="G272" s="25"/>
      <c r="H272" s="117"/>
      <c r="I272" s="57"/>
      <c r="J272" s="58">
        <f>[1]Tame!D46</f>
        <v>13.64</v>
      </c>
      <c r="K272" s="80">
        <f>[1]Tame!E46</f>
        <v>13.84</v>
      </c>
      <c r="L272" s="68">
        <f>[1]Tame!F46</f>
        <v>13.42</v>
      </c>
      <c r="M272" s="58">
        <f>[1]Tame!G46</f>
        <v>13.22</v>
      </c>
      <c r="N272" s="81">
        <f>[1]Tame!H46</f>
        <v>12.47</v>
      </c>
      <c r="O272" s="62">
        <v>10.96</v>
      </c>
      <c r="P272" s="81">
        <f>[1]Tame!I46</f>
        <v>11.46</v>
      </c>
      <c r="Q272" s="82">
        <f>[1]Tame!J46</f>
        <v>11.23</v>
      </c>
      <c r="R272" s="83">
        <v>11.23</v>
      </c>
      <c r="S272" s="84">
        <f>[1]Tame!K46</f>
        <v>10.66</v>
      </c>
      <c r="T272" s="66">
        <f>[1]Tame!L46</f>
        <v>9.23</v>
      </c>
      <c r="U272" s="67">
        <f>[1]Tame!M46</f>
        <v>8.93</v>
      </c>
      <c r="V272" s="68">
        <f>[1]Tame!N46</f>
        <v>8.2799999999999994</v>
      </c>
      <c r="W272" s="68">
        <f>[1]Tame!O46</f>
        <v>7.46</v>
      </c>
      <c r="X272" s="68">
        <v>8.98</v>
      </c>
      <c r="Y272" s="68">
        <v>9.09</v>
      </c>
      <c r="Z272" s="68">
        <v>9.91</v>
      </c>
      <c r="AA272" s="68">
        <v>11.23</v>
      </c>
      <c r="AB272" s="68">
        <v>12.35</v>
      </c>
      <c r="AC272" s="68">
        <v>13</v>
      </c>
      <c r="AD272" s="68">
        <v>14.76</v>
      </c>
      <c r="AE272" s="68">
        <v>17.170000000000002</v>
      </c>
      <c r="AF272" s="68">
        <v>18.690000000000001</v>
      </c>
      <c r="AG272" s="69">
        <v>20.58</v>
      </c>
      <c r="AH272" s="70">
        <v>22.35</v>
      </c>
      <c r="AI272" s="70">
        <v>23.3</v>
      </c>
      <c r="AJ272" s="70">
        <v>24.41</v>
      </c>
      <c r="AK272" s="8">
        <f>ROUND(J272/VLOOKUP($C272,CapRate,2),0)</f>
        <v>92</v>
      </c>
      <c r="AL272" s="8">
        <f>ROUND(K272/VLOOKUP($C272,CapRate,3),0)</f>
        <v>94</v>
      </c>
      <c r="AM272" s="85">
        <f>ROUND(L272/VLOOKUP($C272,CapRate,4),0)</f>
        <v>90</v>
      </c>
      <c r="AN272" s="23">
        <f>ROUND(M272/VLOOKUP($C272,CapRate,5),0)</f>
        <v>91</v>
      </c>
      <c r="AO272" s="85">
        <f t="shared" si="53"/>
        <v>79</v>
      </c>
      <c r="AP272" s="72">
        <f t="shared" si="54"/>
        <v>83</v>
      </c>
      <c r="AQ272" s="71">
        <f t="shared" si="43"/>
        <v>81</v>
      </c>
      <c r="AR272" s="71">
        <f t="shared" si="43"/>
        <v>81</v>
      </c>
      <c r="AS272" s="71">
        <f t="shared" si="47"/>
        <v>77</v>
      </c>
      <c r="AT272" s="71">
        <f t="shared" si="48"/>
        <v>67</v>
      </c>
      <c r="AU272" s="71">
        <f t="shared" si="44"/>
        <v>65</v>
      </c>
      <c r="AV272" s="72">
        <f t="shared" si="45"/>
        <v>60</v>
      </c>
      <c r="AW272" s="72">
        <f>ROUND(W272/VLOOKUP($C272,CapRate,13),0)</f>
        <v>54</v>
      </c>
      <c r="AX272" s="72">
        <f>ROUND(X272/VLOOKUP($C272,CapRate,14),0)</f>
        <v>65</v>
      </c>
      <c r="AY272" s="72">
        <f>ROUND(Y272/VLOOKUP($C272,CapRate,15),0)</f>
        <v>66</v>
      </c>
      <c r="AZ272" s="72">
        <f>ROUND(Z272/VLOOKUP($C272,CapRate,16),0)</f>
        <v>71</v>
      </c>
      <c r="BA272" s="72">
        <f>ROUND(AA272/VLOOKUP($C272,CapRate,17),0)</f>
        <v>81</v>
      </c>
      <c r="BB272" s="72">
        <f>ROUND(AB272/VLOOKUP($C272,CapRate,18),0)</f>
        <v>88</v>
      </c>
      <c r="BC272" s="72">
        <f>ROUND(AC272/VLOOKUP($C272,CapRate,19),0)</f>
        <v>92</v>
      </c>
      <c r="BD272" s="72">
        <f>ROUND(AD272/VLOOKUP($C272,CapRate,20),0)</f>
        <v>105</v>
      </c>
      <c r="BE272" s="72">
        <f>ROUND(AE272/VLOOKUP($C272,CapRate,21),0)</f>
        <v>121</v>
      </c>
      <c r="BF272" s="72">
        <f>IF(ROUND(AF272/VLOOKUP($C272,CapRate,22),0)&gt;BF271,AF272/VLOOKUP($C272,CapRate,22),BF271)</f>
        <v>131.52709359605913</v>
      </c>
      <c r="BG272" s="72">
        <f>IF(ROUND(AG272/VLOOKUP($C272,CapRate,23),0)&gt;BG271,AG272/VLOOKUP($C272,CapRate,23),BG271)</f>
        <v>144.11764705882351</v>
      </c>
      <c r="BH272" s="72">
        <f>IF(ROUND(AH272/VLOOKUP($C272,CapRate,24),0)&gt;BH271,AH272/VLOOKUP($C272,CapRate,24),BH271)</f>
        <v>155.74912891986065</v>
      </c>
      <c r="BI272" s="72">
        <f>IF(ROUND(AI272/VLOOKUP($C272,CapRate,25),0)&gt;BI271,AI272/VLOOKUP($C272,CapRate,25),BI271)</f>
        <v>161.69326856349758</v>
      </c>
      <c r="BJ272" s="72">
        <f>IF(ROUND(AJ272/VLOOKUP($C272,CapRate,26),0)&gt;BJ271,AJ272/VLOOKUP($C272,CapRate,26),BJ271)</f>
        <v>168.69384934346925</v>
      </c>
      <c r="BK272" s="87">
        <f t="shared" si="46"/>
        <v>4.3295437355962196E-2</v>
      </c>
      <c r="BL272" s="76"/>
      <c r="BM272" s="77"/>
      <c r="BN272" s="77"/>
      <c r="BO272" s="77"/>
      <c r="BP272" s="77">
        <f>BK272</f>
        <v>4.3295437355962196E-2</v>
      </c>
    </row>
    <row r="273" spans="1:69" ht="15.9" customHeight="1" thickBot="1">
      <c r="A273" s="8" t="s">
        <v>125</v>
      </c>
      <c r="B273" s="22"/>
      <c r="C273" s="90" t="s">
        <v>136</v>
      </c>
      <c r="D273" s="91"/>
      <c r="E273" s="90" t="s">
        <v>40</v>
      </c>
      <c r="F273" s="190">
        <f>[1]AcreSummary!J79</f>
        <v>0.35097487648983205</v>
      </c>
      <c r="G273" s="191"/>
      <c r="H273" s="94"/>
      <c r="I273" s="95">
        <f>[1]Dry!E79</f>
        <v>27.11</v>
      </c>
      <c r="J273" s="96">
        <f>[1]Dry!F79</f>
        <v>27.06</v>
      </c>
      <c r="K273" s="97">
        <f>[1]Dry!G79</f>
        <v>27.82</v>
      </c>
      <c r="L273" s="98">
        <f>[1]Dry!H79</f>
        <v>29.33</v>
      </c>
      <c r="M273" s="96">
        <f>[1]Dry!I79</f>
        <v>30.85</v>
      </c>
      <c r="N273" s="99">
        <f>[1]Dry!J79</f>
        <v>32.53</v>
      </c>
      <c r="O273" s="100">
        <v>30.35</v>
      </c>
      <c r="P273" s="99">
        <f>[1]Dry!K79</f>
        <v>32.89</v>
      </c>
      <c r="Q273" s="101">
        <f>[1]Dry!L79</f>
        <v>33.61</v>
      </c>
      <c r="R273" s="102">
        <f>Q273*0.95</f>
        <v>31.929499999999997</v>
      </c>
      <c r="S273" s="103">
        <f>[1]Dry!N79</f>
        <v>33.409999999999997</v>
      </c>
      <c r="T273" s="104">
        <f>[1]Dry!O79</f>
        <v>33.17</v>
      </c>
      <c r="U273" s="105">
        <f>[1]Dry!P79</f>
        <v>32.090000000000003</v>
      </c>
      <c r="V273" s="98">
        <f>[1]Dry!Q79</f>
        <v>26.06</v>
      </c>
      <c r="W273" s="98">
        <f>[1]Dry!R79</f>
        <v>30.14</v>
      </c>
      <c r="X273" s="98">
        <f>[1]Dry!S79</f>
        <v>34.89</v>
      </c>
      <c r="Y273" s="98">
        <f>[1]Dry!T79</f>
        <v>41.19</v>
      </c>
      <c r="Z273" s="98">
        <v>49.68</v>
      </c>
      <c r="AA273" s="98">
        <v>58.08</v>
      </c>
      <c r="AB273" s="98">
        <v>68.010000000000005</v>
      </c>
      <c r="AC273" s="98">
        <v>76.680000000000007</v>
      </c>
      <c r="AD273" s="98">
        <v>82.76</v>
      </c>
      <c r="AE273" s="98">
        <v>87.34</v>
      </c>
      <c r="AF273" s="98">
        <v>89.49</v>
      </c>
      <c r="AG273" s="106">
        <v>90.55</v>
      </c>
      <c r="AH273" s="107">
        <v>84.8</v>
      </c>
      <c r="AI273" s="107">
        <v>73.61</v>
      </c>
      <c r="AJ273" s="107">
        <v>58.98</v>
      </c>
      <c r="AK273" s="90">
        <f>ROUND(J273/VLOOKUP($C273,CapRate,2),0)</f>
        <v>182</v>
      </c>
      <c r="AL273" s="90">
        <f t="shared" si="50"/>
        <v>188</v>
      </c>
      <c r="AM273" s="90">
        <f t="shared" si="51"/>
        <v>197</v>
      </c>
      <c r="AN273" s="91">
        <f t="shared" si="52"/>
        <v>212</v>
      </c>
      <c r="AO273" s="108">
        <f t="shared" si="53"/>
        <v>218</v>
      </c>
      <c r="AP273" s="109">
        <f t="shared" si="54"/>
        <v>239</v>
      </c>
      <c r="AQ273" s="110">
        <f t="shared" si="43"/>
        <v>243</v>
      </c>
      <c r="AR273" s="109">
        <f t="shared" si="43"/>
        <v>231</v>
      </c>
      <c r="AS273" s="110">
        <f t="shared" si="47"/>
        <v>242</v>
      </c>
      <c r="AT273" s="110">
        <f t="shared" si="48"/>
        <v>241</v>
      </c>
      <c r="AU273" s="110">
        <f t="shared" si="44"/>
        <v>233</v>
      </c>
      <c r="AV273" s="109">
        <f t="shared" si="45"/>
        <v>190</v>
      </c>
      <c r="AW273" s="109">
        <f>ROUND(W273/VLOOKUP($C273,CapRate,13),0)</f>
        <v>219</v>
      </c>
      <c r="AX273" s="109">
        <f>ROUND(X273/VLOOKUP($C273,CapRate,14),0)</f>
        <v>253</v>
      </c>
      <c r="AY273" s="109">
        <f>ROUND(Y273/VLOOKUP($C273,CapRate,15),0)</f>
        <v>298</v>
      </c>
      <c r="AZ273" s="109">
        <f>ROUND(Z273/VLOOKUP($C273,CapRate,16),0)</f>
        <v>358</v>
      </c>
      <c r="BA273" s="109">
        <f>ROUND(AA273/VLOOKUP($C273,CapRate,17),0)</f>
        <v>417</v>
      </c>
      <c r="BB273" s="109">
        <f>ROUND(AB273/VLOOKUP($C273,CapRate,18),0)</f>
        <v>486</v>
      </c>
      <c r="BC273" s="109">
        <f>ROUND(AC273/VLOOKUP($C273,CapRate,19),0)</f>
        <v>545</v>
      </c>
      <c r="BD273" s="109">
        <f>ROUND(AD273/VLOOKUP($C273,CapRate,20),0)</f>
        <v>587</v>
      </c>
      <c r="BE273" s="109">
        <f>ROUND(AE273/VLOOKUP($C273,CapRate,21),0)</f>
        <v>617</v>
      </c>
      <c r="BF273" s="109">
        <f>ROUND(AF273/VLOOKUP($C273,CapRate,22),0)</f>
        <v>630</v>
      </c>
      <c r="BG273" s="109">
        <f>ROUND(AG273/VLOOKUP($C273,CapRate,23),0)</f>
        <v>634</v>
      </c>
      <c r="BH273" s="109">
        <f>ROUND(AH273/VLOOKUP($C273,CapRate,24),0)</f>
        <v>591</v>
      </c>
      <c r="BI273" s="109">
        <f>ROUND(AI273/VLOOKUP($C273,CapRate,25),0)</f>
        <v>511</v>
      </c>
      <c r="BJ273" s="109">
        <f>ROUND(AJ273/VLOOKUP($C273,CapRate,26),0)</f>
        <v>408</v>
      </c>
      <c r="BK273" s="87">
        <f t="shared" si="46"/>
        <v>-0.20156555772994134</v>
      </c>
      <c r="BL273" s="114">
        <f>((F271*BK271)+(F272*BK272)+(F273*BK273))</f>
        <v>-6.737019776395331E-2</v>
      </c>
      <c r="BM273" s="77"/>
      <c r="BN273" s="77">
        <f>BK273</f>
        <v>-0.20156555772994134</v>
      </c>
      <c r="BO273" s="77"/>
      <c r="BP273" s="77"/>
    </row>
    <row r="274" spans="1:69" ht="15.9" customHeight="1" thickTop="1">
      <c r="A274" s="8" t="s">
        <v>125</v>
      </c>
      <c r="B274" s="22"/>
      <c r="C274" s="8" t="s">
        <v>137</v>
      </c>
      <c r="D274" s="23" t="s">
        <v>137</v>
      </c>
      <c r="E274" s="8" t="s">
        <v>39</v>
      </c>
      <c r="F274" s="188">
        <f>[1]AcreSummary!M80</f>
        <v>0.4739005644492813</v>
      </c>
      <c r="G274" s="25"/>
      <c r="H274" s="117"/>
      <c r="I274" s="57">
        <f>[1]Native!E78</f>
        <v>12.77</v>
      </c>
      <c r="J274" s="58">
        <f>[1]Native!F78</f>
        <v>8.61</v>
      </c>
      <c r="K274" s="80">
        <f>[1]Native!G78</f>
        <v>8.65</v>
      </c>
      <c r="L274" s="68">
        <f>[1]Native!H78</f>
        <v>8.24</v>
      </c>
      <c r="M274" s="58">
        <f>[1]Native!I78</f>
        <v>8.14</v>
      </c>
      <c r="N274" s="81">
        <f>[1]Native!J78</f>
        <v>7.75</v>
      </c>
      <c r="O274" s="62">
        <v>6.65</v>
      </c>
      <c r="P274" s="81">
        <f>[1]Native!K78</f>
        <v>7.31</v>
      </c>
      <c r="Q274" s="82">
        <f>[1]Native!L78</f>
        <v>7.07</v>
      </c>
      <c r="R274" s="83">
        <v>7.07</v>
      </c>
      <c r="S274" s="84">
        <f>[1]Native!M78</f>
        <v>6.92</v>
      </c>
      <c r="T274" s="66">
        <f>[1]Native!N78</f>
        <v>6.54</v>
      </c>
      <c r="U274" s="67">
        <f>[1]Native!O78</f>
        <v>6.28</v>
      </c>
      <c r="V274" s="68">
        <f>[1]Native!P78</f>
        <v>8.01</v>
      </c>
      <c r="W274" s="68">
        <f>[1]Native!Q78</f>
        <v>8.1199999999999992</v>
      </c>
      <c r="X274" s="68">
        <v>8.8699999999999992</v>
      </c>
      <c r="Y274" s="68">
        <v>9.75</v>
      </c>
      <c r="Z274" s="68">
        <v>11.11</v>
      </c>
      <c r="AA274" s="68">
        <v>11.98</v>
      </c>
      <c r="AB274" s="68">
        <v>13.29</v>
      </c>
      <c r="AC274" s="68">
        <v>13.62</v>
      </c>
      <c r="AD274" s="68">
        <v>15.6</v>
      </c>
      <c r="AE274" s="68">
        <v>16.739999999999998</v>
      </c>
      <c r="AF274" s="68">
        <v>17.07</v>
      </c>
      <c r="AG274" s="69">
        <v>17.57</v>
      </c>
      <c r="AH274" s="70">
        <v>17.89</v>
      </c>
      <c r="AI274" s="70">
        <v>17.920000000000002</v>
      </c>
      <c r="AJ274" s="70">
        <v>18.100000000000001</v>
      </c>
      <c r="AK274" s="8">
        <f>ROUND(J274/VLOOKUP($C274,CapRate,2),0)</f>
        <v>56</v>
      </c>
      <c r="AL274" s="8">
        <f t="shared" si="50"/>
        <v>57</v>
      </c>
      <c r="AM274" s="85">
        <f t="shared" si="51"/>
        <v>53</v>
      </c>
      <c r="AN274" s="23">
        <f t="shared" si="52"/>
        <v>54</v>
      </c>
      <c r="AO274" s="85">
        <f t="shared" si="53"/>
        <v>45</v>
      </c>
      <c r="AP274" s="72">
        <f t="shared" si="54"/>
        <v>50</v>
      </c>
      <c r="AQ274" s="71">
        <f t="shared" si="43"/>
        <v>49</v>
      </c>
      <c r="AR274" s="71">
        <f t="shared" si="43"/>
        <v>49</v>
      </c>
      <c r="AS274" s="71">
        <f t="shared" si="47"/>
        <v>48</v>
      </c>
      <c r="AT274" s="71">
        <f t="shared" si="48"/>
        <v>45</v>
      </c>
      <c r="AU274" s="71">
        <f t="shared" si="44"/>
        <v>44</v>
      </c>
      <c r="AV274" s="72">
        <f t="shared" si="45"/>
        <v>55</v>
      </c>
      <c r="AW274" s="72">
        <f>ROUND(W274/VLOOKUP($C274,CapRate,13),0)</f>
        <v>56</v>
      </c>
      <c r="AX274" s="72">
        <f>IF(ROUND(X274/VLOOKUP($C274,CapRate,14),0)&gt;10,X274/VLOOKUP($C274,CapRate,14),10)</f>
        <v>60.836762688614527</v>
      </c>
      <c r="AY274" s="72">
        <f>IF(ROUND(Y274/VLOOKUP($C274,CapRate,15),0)&gt;10,Y274/VLOOKUP($C274,CapRate,15),10)</f>
        <v>66.416893732970024</v>
      </c>
      <c r="AZ274" s="72">
        <f>IF(ROUND(Z274/VLOOKUP($C274,CapRate,16),0)&gt;10,Z274/VLOOKUP($C274,CapRate,16),10)</f>
        <v>75.47554347826086</v>
      </c>
      <c r="BA274" s="72">
        <f>IF(ROUND(AA274/VLOOKUP($C274,CapRate,17),0)&gt;10,AA274/VLOOKUP($C274,CapRate,17),10)</f>
        <v>80.673400673400678</v>
      </c>
      <c r="BB274" s="72">
        <f>IF(ROUND(AB274/VLOOKUP($C274,CapRate,18),0)&gt;10,AB274/VLOOKUP($C274,CapRate,18),10)</f>
        <v>89.374579690652311</v>
      </c>
      <c r="BC274" s="72">
        <f>IF(ROUND(AC274/VLOOKUP($C274,CapRate,19),0)&gt;10,AC274/VLOOKUP($C274,CapRate,19),10)</f>
        <v>91.225720026791691</v>
      </c>
      <c r="BD274" s="72">
        <f>IF(ROUND(AD274/VLOOKUP($C274,CapRate,20),0)&gt;10,AD274/VLOOKUP($C274,CapRate,20),10)</f>
        <v>104.13885180240321</v>
      </c>
      <c r="BE274" s="72">
        <f>IF(ROUND(AE274/VLOOKUP($C274,CapRate,21),0)&gt;10,AE274/VLOOKUP($C274,CapRate,21),10)</f>
        <v>111.6</v>
      </c>
      <c r="BF274" s="72">
        <f>IF(ROUND(AF274/VLOOKUP($C274,CapRate,22),0)&gt;10,AF274/VLOOKUP($C274,CapRate,22),10)</f>
        <v>113.64846870838882</v>
      </c>
      <c r="BG274" s="72">
        <f>IF(ROUND(AG274/VLOOKUP($C274,CapRate,23),0)&gt;10,AG274/VLOOKUP($C274,CapRate,23),10)</f>
        <v>116.74418604651163</v>
      </c>
      <c r="BH274" s="72">
        <f>IF(ROUND(AH274/VLOOKUP($C274,CapRate,24),0)&gt;10,AH274/VLOOKUP($C274,CapRate,24),10)</f>
        <v>118.94946808510639</v>
      </c>
      <c r="BI274" s="72">
        <f>IF(ROUND(AI274/VLOOKUP($C274,CapRate,25),0)&gt;10,AI274/VLOOKUP($C274,CapRate,25),10)</f>
        <v>119.46666666666668</v>
      </c>
      <c r="BJ274" s="72">
        <f>IF(ROUND(AJ274/VLOOKUP($C274,CapRate,26),0)&gt;10,AJ274/VLOOKUP($C274,CapRate,26),10)</f>
        <v>121.1512717536814</v>
      </c>
      <c r="BK274" s="75">
        <f t="shared" si="46"/>
        <v>1.4101047045324E-2</v>
      </c>
      <c r="BL274" s="76"/>
      <c r="BM274" s="219">
        <f>BK274</f>
        <v>1.4101047045324E-2</v>
      </c>
      <c r="BN274" s="220"/>
      <c r="BO274" s="220"/>
      <c r="BP274" s="220"/>
    </row>
    <row r="275" spans="1:69" ht="15.9" customHeight="1">
      <c r="A275" s="8"/>
      <c r="B275" s="22"/>
      <c r="C275" s="8" t="s">
        <v>137</v>
      </c>
      <c r="D275" s="23"/>
      <c r="E275" s="8" t="s">
        <v>85</v>
      </c>
      <c r="F275" s="188">
        <f>[1]AcreSummary!L80</f>
        <v>0.16943252453371374</v>
      </c>
      <c r="G275" s="25"/>
      <c r="H275" s="117"/>
      <c r="I275" s="57"/>
      <c r="J275" s="58">
        <f>[1]Tame!D47</f>
        <v>10.59</v>
      </c>
      <c r="K275" s="80">
        <f>[1]Tame!E47</f>
        <v>10.69</v>
      </c>
      <c r="L275" s="68">
        <f>[1]Tame!F47</f>
        <v>10.24</v>
      </c>
      <c r="M275" s="58">
        <f>[1]Tame!G47</f>
        <v>9.9700000000000006</v>
      </c>
      <c r="N275" s="81">
        <f>[1]Tame!H47</f>
        <v>9.43</v>
      </c>
      <c r="O275" s="62">
        <v>9.85</v>
      </c>
      <c r="P275" s="81">
        <f>[1]Tame!I47</f>
        <v>8.75</v>
      </c>
      <c r="Q275" s="82">
        <f>[1]Tame!J47</f>
        <v>8.7100000000000009</v>
      </c>
      <c r="R275" s="83">
        <v>8.7100000000000009</v>
      </c>
      <c r="S275" s="84">
        <f>[1]Tame!K47</f>
        <v>8.43</v>
      </c>
      <c r="T275" s="66">
        <f>[1]Tame!L47</f>
        <v>7.79</v>
      </c>
      <c r="U275" s="67">
        <f>[1]Tame!M47</f>
        <v>7.54</v>
      </c>
      <c r="V275" s="68">
        <f>[1]Tame!N47</f>
        <v>8.31</v>
      </c>
      <c r="W275" s="68">
        <f>[1]Tame!O47</f>
        <v>7.71</v>
      </c>
      <c r="X275" s="68">
        <v>7.65</v>
      </c>
      <c r="Y275" s="68">
        <v>7.61</v>
      </c>
      <c r="Z275" s="68">
        <v>8.24</v>
      </c>
      <c r="AA275" s="68">
        <v>9.27</v>
      </c>
      <c r="AB275" s="68">
        <v>10.87</v>
      </c>
      <c r="AC275" s="68">
        <v>0</v>
      </c>
      <c r="AD275" s="68">
        <v>13.19</v>
      </c>
      <c r="AE275" s="68">
        <v>15.54</v>
      </c>
      <c r="AF275" s="68">
        <v>17.28</v>
      </c>
      <c r="AG275" s="69">
        <v>19.09</v>
      </c>
      <c r="AH275" s="70">
        <v>20.8</v>
      </c>
      <c r="AI275" s="70">
        <v>21.7</v>
      </c>
      <c r="AJ275" s="70">
        <v>22.76</v>
      </c>
      <c r="AK275" s="8">
        <f>ROUND(J275/VLOOKUP($C275,CapRate,2),0)</f>
        <v>68</v>
      </c>
      <c r="AL275" s="8">
        <f>ROUND(K275/VLOOKUP($C275,CapRate,3),0)</f>
        <v>70</v>
      </c>
      <c r="AM275" s="85">
        <f>ROUND(L275/VLOOKUP($C275,CapRate,4),0)</f>
        <v>66</v>
      </c>
      <c r="AN275" s="23">
        <f>ROUND(M275/VLOOKUP($C275,CapRate,5),0)</f>
        <v>66</v>
      </c>
      <c r="AO275" s="85">
        <f t="shared" si="53"/>
        <v>67</v>
      </c>
      <c r="AP275" s="72">
        <f t="shared" si="54"/>
        <v>60</v>
      </c>
      <c r="AQ275" s="71">
        <f t="shared" si="43"/>
        <v>60</v>
      </c>
      <c r="AR275" s="71">
        <f t="shared" si="43"/>
        <v>60</v>
      </c>
      <c r="AS275" s="71">
        <f t="shared" si="47"/>
        <v>58</v>
      </c>
      <c r="AT275" s="71">
        <f t="shared" si="48"/>
        <v>54</v>
      </c>
      <c r="AU275" s="71">
        <f t="shared" si="44"/>
        <v>53</v>
      </c>
      <c r="AV275" s="72">
        <f>IF(ROUND(V275/VLOOKUP($C275,CapRate,12),0)&gt;AV274,V275/VLOOKUP($C275,CapRate,12),AV274)</f>
        <v>57.270847691247418</v>
      </c>
      <c r="AW275" s="72">
        <f>IF(ROUND(W275/VLOOKUP($C275,CapRate,13),0)&gt;AW274,W275/VLOOKUP($C275,CapRate,13),AW274)</f>
        <v>56</v>
      </c>
      <c r="AX275" s="72">
        <f>IF(ROUND(X275/VLOOKUP($C275,CapRate,14),0)&gt;AX274,X275/VLOOKUP($C275,CapRate,14),AX274)</f>
        <v>60.836762688614527</v>
      </c>
      <c r="AY275" s="72">
        <f>IF(ROUND(Y275/VLOOKUP($C275,CapRate,15),0)&gt;AY274,Y275/VLOOKUP($C275,CapRate,15),AY274)</f>
        <v>66.416893732970024</v>
      </c>
      <c r="AZ275" s="72">
        <f>IF(ROUND(Z275/VLOOKUP($C275,CapRate,16),0)&gt;AZ274,Z275/VLOOKUP($C275,CapRate,16),AZ274)</f>
        <v>75.47554347826086</v>
      </c>
      <c r="BA275" s="72">
        <f>IF(ROUND(AA275/VLOOKUP($C275,CapRate,17),0)&gt;BA274,AA275/VLOOKUP($C275,CapRate,17),BA274)</f>
        <v>80.673400673400678</v>
      </c>
      <c r="BB275" s="72">
        <f>IF(ROUND(AB275/VLOOKUP($C275,CapRate,18),0)&gt;BB274,AB275/VLOOKUP($C275,CapRate,18),BB274)</f>
        <v>89.374579690652311</v>
      </c>
      <c r="BC275" s="72">
        <f>IF(ROUND(AC275/VLOOKUP($C275,CapRate,19),0)&gt;BC274,AC275/VLOOKUP($C275,CapRate,19),BC274)</f>
        <v>91.225720026791691</v>
      </c>
      <c r="BD275" s="72">
        <f>IF(ROUND(AD275/VLOOKUP($C275,CapRate,20),0)&gt;BD274,AD275/VLOOKUP($C275,CapRate,20),BD274)</f>
        <v>104.13885180240321</v>
      </c>
      <c r="BE275" s="72">
        <f>IF(ROUND(AE275/VLOOKUP($C275,CapRate,21),0)&gt;BE274,AE275/VLOOKUP($C275,CapRate,21),BE274)</f>
        <v>111.6</v>
      </c>
      <c r="BF275" s="72">
        <f>IF(ROUND(AF275/VLOOKUP($C275,CapRate,22),0)&gt;BF274,AF275/VLOOKUP($C275,CapRate,22),BF274)</f>
        <v>115.04660452729695</v>
      </c>
      <c r="BG275" s="72">
        <f>IF(ROUND(AG275/VLOOKUP($C275,CapRate,23),0)&gt;BG274,AG275/VLOOKUP($C275,CapRate,23),BG274)</f>
        <v>126.84385382059801</v>
      </c>
      <c r="BH275" s="72">
        <f>IF(ROUND(AH275/VLOOKUP($C275,CapRate,24),0)&gt;BH274,AH275/VLOOKUP($C275,CapRate,24),BH274)</f>
        <v>138.29787234042553</v>
      </c>
      <c r="BI275" s="72">
        <f>IF(ROUND(AI275/VLOOKUP($C275,CapRate,25),0)&gt;BI274,AI275/VLOOKUP($C275,CapRate,25),BI274)</f>
        <v>144.66666666666666</v>
      </c>
      <c r="BJ275" s="72">
        <f>IF(ROUND(AJ275/VLOOKUP($C275,CapRate,26),0)&gt;BJ274,AJ275/VLOOKUP($C275,CapRate,26),BJ274)</f>
        <v>152.34270414993307</v>
      </c>
      <c r="BK275" s="87">
        <f t="shared" si="46"/>
        <v>5.3060166935021247E-2</v>
      </c>
      <c r="BL275" s="76"/>
      <c r="BM275" s="77"/>
      <c r="BN275" s="77"/>
      <c r="BO275" s="77"/>
      <c r="BP275" s="77">
        <f>BK275</f>
        <v>5.3060166935021247E-2</v>
      </c>
    </row>
    <row r="276" spans="1:69" ht="15.9" customHeight="1" thickBot="1">
      <c r="A276" s="50" t="s">
        <v>125</v>
      </c>
      <c r="B276" s="194"/>
      <c r="C276" s="8" t="s">
        <v>137</v>
      </c>
      <c r="D276" s="195"/>
      <c r="E276" s="132" t="s">
        <v>40</v>
      </c>
      <c r="F276" s="196">
        <f>[1]AcreSummary!J80</f>
        <v>0.35092937711339545</v>
      </c>
      <c r="G276" s="197"/>
      <c r="H276" s="135"/>
      <c r="I276" s="136">
        <f>[1]Dry!E80</f>
        <v>42.99</v>
      </c>
      <c r="J276" s="137">
        <f>[1]Dry!F80</f>
        <v>36.92</v>
      </c>
      <c r="K276" s="138">
        <f>[1]Dry!G80</f>
        <v>37.72</v>
      </c>
      <c r="L276" s="139">
        <f>[1]Dry!H80</f>
        <v>38.82</v>
      </c>
      <c r="M276" s="137">
        <f>[1]Dry!I80</f>
        <v>39.5</v>
      </c>
      <c r="N276" s="140">
        <f>[1]Dry!J80</f>
        <v>40.119999999999997</v>
      </c>
      <c r="O276" s="141">
        <v>33.229999999999997</v>
      </c>
      <c r="P276" s="140">
        <f>[1]Dry!K80</f>
        <v>39.06</v>
      </c>
      <c r="Q276" s="142">
        <f>[1]Dry!L80</f>
        <v>38.1</v>
      </c>
      <c r="R276" s="224">
        <f>Q276*0.95</f>
        <v>36.195</v>
      </c>
      <c r="S276" s="144">
        <f>[1]Dry!N80</f>
        <v>36.06</v>
      </c>
      <c r="T276" s="145">
        <f>[1]Dry!O80</f>
        <v>33.590000000000003</v>
      </c>
      <c r="U276" s="146">
        <f>[1]Dry!P80</f>
        <v>30.26</v>
      </c>
      <c r="V276" s="139">
        <f>[1]Dry!Q80</f>
        <v>24.26</v>
      </c>
      <c r="W276" s="139">
        <f>[1]Dry!R80</f>
        <v>29.95</v>
      </c>
      <c r="X276" s="139">
        <f>[1]Dry!S80</f>
        <v>36.35</v>
      </c>
      <c r="Y276" s="139">
        <f>[1]Dry!T80</f>
        <v>43.07</v>
      </c>
      <c r="Z276" s="139">
        <v>51.03</v>
      </c>
      <c r="AA276" s="139">
        <v>64.63</v>
      </c>
      <c r="AB276" s="139">
        <v>64.12</v>
      </c>
      <c r="AC276" s="139">
        <v>75.3</v>
      </c>
      <c r="AD276" s="139">
        <v>83.95</v>
      </c>
      <c r="AE276" s="139">
        <v>91.6</v>
      </c>
      <c r="AF276" s="139">
        <v>100.75</v>
      </c>
      <c r="AG276" s="147">
        <v>107.34</v>
      </c>
      <c r="AH276" s="149">
        <v>107.17</v>
      </c>
      <c r="AI276" s="149">
        <v>99.29</v>
      </c>
      <c r="AJ276" s="70">
        <v>88.43</v>
      </c>
      <c r="AK276" s="90">
        <f t="shared" si="49"/>
        <v>239</v>
      </c>
      <c r="AL276" s="90">
        <f t="shared" si="50"/>
        <v>247</v>
      </c>
      <c r="AM276" s="108">
        <f t="shared" si="51"/>
        <v>251</v>
      </c>
      <c r="AN276" s="91">
        <f t="shared" si="52"/>
        <v>260</v>
      </c>
      <c r="AO276" s="108">
        <f t="shared" si="53"/>
        <v>226</v>
      </c>
      <c r="AP276" s="109">
        <f t="shared" si="54"/>
        <v>270</v>
      </c>
      <c r="AQ276" s="110">
        <f t="shared" si="43"/>
        <v>262</v>
      </c>
      <c r="AR276" s="110">
        <f t="shared" si="43"/>
        <v>249</v>
      </c>
      <c r="AS276" s="110">
        <f t="shared" si="47"/>
        <v>249</v>
      </c>
      <c r="AT276" s="110">
        <f t="shared" si="48"/>
        <v>233</v>
      </c>
      <c r="AU276" s="110">
        <f t="shared" si="44"/>
        <v>211</v>
      </c>
      <c r="AV276" s="109">
        <f t="shared" si="45"/>
        <v>167</v>
      </c>
      <c r="AW276" s="109">
        <f>ROUND(W276/VLOOKUP($C276,CapRate,13),0)</f>
        <v>206</v>
      </c>
      <c r="AX276" s="72">
        <f>ROUND(X276/VLOOKUP($C276,CapRate,14),0)</f>
        <v>249</v>
      </c>
      <c r="AY276" s="72">
        <f>ROUND(Y276/VLOOKUP($C276,CapRate,15),0)</f>
        <v>293</v>
      </c>
      <c r="AZ276" s="72">
        <f>ROUND(Z276/VLOOKUP($C276,CapRate,16),0)</f>
        <v>347</v>
      </c>
      <c r="BA276" s="72">
        <f>ROUND(AA276/VLOOKUP($C276,CapRate,17),0)</f>
        <v>435</v>
      </c>
      <c r="BB276" s="72">
        <f>ROUND(AB276/VLOOKUP($C276,CapRate,18),0)</f>
        <v>431</v>
      </c>
      <c r="BC276" s="72">
        <f>ROUND(AC276/VLOOKUP($C276,CapRate,19),0)</f>
        <v>504</v>
      </c>
      <c r="BD276" s="225">
        <f>ROUND(AD276/VLOOKUP($C276,CapRate,20),0)</f>
        <v>560</v>
      </c>
      <c r="BE276" s="199">
        <f>ROUND(AE276/VLOOKUP($C276,CapRate,21),0)</f>
        <v>611</v>
      </c>
      <c r="BF276" s="199">
        <f>ROUND(AF276/VLOOKUP($C276,CapRate,22),0)</f>
        <v>671</v>
      </c>
      <c r="BG276" s="199">
        <f>ROUND(AG276/VLOOKUP($C276,CapRate,23),0)</f>
        <v>713</v>
      </c>
      <c r="BH276" s="199">
        <f>ROUND(AH276/VLOOKUP($C276,CapRate,24),0)</f>
        <v>713</v>
      </c>
      <c r="BI276" s="199">
        <f>ROUND(AI276/VLOOKUP($C276,CapRate,25),0)</f>
        <v>662</v>
      </c>
      <c r="BJ276" s="199">
        <f>ROUND(AJ276/VLOOKUP($C276,CapRate,26),0)</f>
        <v>592</v>
      </c>
      <c r="BK276" s="87">
        <f t="shared" si="46"/>
        <v>-0.10574018126888218</v>
      </c>
      <c r="BL276" s="200">
        <f>((F274*BK274)+(F275*BK275)+(F276*BK276))</f>
        <v>-2.1434723758460502E-2</v>
      </c>
      <c r="BM276" s="77"/>
      <c r="BN276" s="77">
        <f>BK276</f>
        <v>-0.10574018126888218</v>
      </c>
      <c r="BO276" s="77"/>
      <c r="BP276" s="77"/>
    </row>
    <row r="277" spans="1:69" ht="15.9" customHeight="1" thickTop="1">
      <c r="A277" s="8" t="s">
        <v>138</v>
      </c>
      <c r="B277" s="22" t="s">
        <v>139</v>
      </c>
      <c r="C277" s="8" t="s">
        <v>140</v>
      </c>
      <c r="D277" s="23" t="s">
        <v>140</v>
      </c>
      <c r="E277" s="8" t="s">
        <v>39</v>
      </c>
      <c r="F277" s="188">
        <f>[1]AcreSummary!M81</f>
        <v>0.50175747540712168</v>
      </c>
      <c r="G277" s="25"/>
      <c r="H277" s="117"/>
      <c r="I277" s="57">
        <f>[1]Native!E79</f>
        <v>9.2100000000000009</v>
      </c>
      <c r="J277" s="58">
        <f>[1]Native!F79</f>
        <v>9.0500000000000007</v>
      </c>
      <c r="K277" s="59">
        <f>[1]Native!G79</f>
        <v>9.4</v>
      </c>
      <c r="L277" s="60">
        <f>[1]Native!H79</f>
        <v>9.67</v>
      </c>
      <c r="M277" s="61">
        <f>[1]Native!I79</f>
        <v>10.18</v>
      </c>
      <c r="N277" s="62">
        <f>[1]Native!J79</f>
        <v>10.75</v>
      </c>
      <c r="O277" s="62">
        <v>10.55</v>
      </c>
      <c r="P277" s="62">
        <f>[1]Native!K79</f>
        <v>11.24</v>
      </c>
      <c r="Q277" s="63">
        <f>[1]Native!L79</f>
        <v>11.6</v>
      </c>
      <c r="R277" s="64">
        <v>11.6</v>
      </c>
      <c r="S277" s="65">
        <f>[1]Native!M79</f>
        <v>11.98</v>
      </c>
      <c r="T277" s="66">
        <f>[1]Native!N79</f>
        <v>12.32</v>
      </c>
      <c r="U277" s="67">
        <f>[1]Native!O79</f>
        <v>12.42</v>
      </c>
      <c r="V277" s="68">
        <f>[1]Native!P79</f>
        <v>8.07</v>
      </c>
      <c r="W277" s="68">
        <f>[1]Native!Q79</f>
        <v>7.18</v>
      </c>
      <c r="X277" s="68">
        <v>7.85</v>
      </c>
      <c r="Y277" s="68">
        <v>7.55</v>
      </c>
      <c r="Z277" s="68">
        <v>8.51</v>
      </c>
      <c r="AA277" s="68">
        <v>9.64</v>
      </c>
      <c r="AB277" s="68">
        <v>10.74</v>
      </c>
      <c r="AC277" s="68">
        <v>11.88</v>
      </c>
      <c r="AD277" s="68">
        <v>13.35</v>
      </c>
      <c r="AE277" s="68">
        <v>14.83</v>
      </c>
      <c r="AF277" s="68">
        <v>15.87</v>
      </c>
      <c r="AG277" s="69">
        <v>16.63</v>
      </c>
      <c r="AH277" s="70">
        <v>17.36</v>
      </c>
      <c r="AI277" s="203">
        <v>17.52</v>
      </c>
      <c r="AJ277" s="70">
        <v>18.09</v>
      </c>
      <c r="AK277" s="8">
        <f t="shared" si="49"/>
        <v>60</v>
      </c>
      <c r="AL277" s="8">
        <f t="shared" si="50"/>
        <v>63</v>
      </c>
      <c r="AM277" s="71">
        <f t="shared" si="51"/>
        <v>63</v>
      </c>
      <c r="AN277" s="72">
        <f t="shared" si="52"/>
        <v>68</v>
      </c>
      <c r="AO277" s="71">
        <f t="shared" si="53"/>
        <v>74</v>
      </c>
      <c r="AP277" s="72">
        <f t="shared" si="54"/>
        <v>79</v>
      </c>
      <c r="AQ277" s="71">
        <f t="shared" si="43"/>
        <v>82</v>
      </c>
      <c r="AR277" s="71">
        <f t="shared" si="43"/>
        <v>82</v>
      </c>
      <c r="AS277" s="71">
        <f t="shared" si="47"/>
        <v>84</v>
      </c>
      <c r="AT277" s="71">
        <f t="shared" si="48"/>
        <v>86</v>
      </c>
      <c r="AU277" s="71">
        <f t="shared" si="44"/>
        <v>87</v>
      </c>
      <c r="AV277" s="72">
        <f t="shared" si="45"/>
        <v>55</v>
      </c>
      <c r="AW277" s="72">
        <f>ROUND(W277/VLOOKUP($C277,CapRate,13),0)</f>
        <v>48</v>
      </c>
      <c r="AX277" s="122">
        <f>IF(ROUND(X277/VLOOKUP($C277,CapRate,14),0)&gt;10,X277/VLOOKUP($C277,CapRate,14),10)</f>
        <v>52.508361204013376</v>
      </c>
      <c r="AY277" s="122">
        <f>IF(ROUND(Y277/VLOOKUP($C277,CapRate,15),0)&gt;10,Y277/VLOOKUP($C277,CapRate,15),10)</f>
        <v>49.966909331568495</v>
      </c>
      <c r="AZ277" s="122">
        <f>IF(ROUND(Z277/VLOOKUP($C277,CapRate,16),0)&gt;10,Z277/VLOOKUP($C277,CapRate,16),10)</f>
        <v>56.134564643799465</v>
      </c>
      <c r="BA277" s="122">
        <f>IF(ROUND(AA277/VLOOKUP($C277,CapRate,17),0)&gt;10,AA277/VLOOKUP($C277,CapRate,17),10)</f>
        <v>62.842242503259456</v>
      </c>
      <c r="BB277" s="122">
        <f>IF(ROUND(AB277/VLOOKUP($C277,CapRate,18),0)&gt;10,AB277/VLOOKUP($C277,CapRate,18),10)</f>
        <v>69.740259740259745</v>
      </c>
      <c r="BC277" s="122">
        <f>IF(ROUND(AC277/VLOOKUP($C277,CapRate,19),0)&gt;10,AC277/VLOOKUP($C277,CapRate,19),10)</f>
        <v>76.893203883495147</v>
      </c>
      <c r="BD277" s="72">
        <f>IF(ROUND(AD277/VLOOKUP($C277,CapRate,20),0)&gt;10,AD277/VLOOKUP($C277,CapRate,20),10)</f>
        <v>86.184635248547437</v>
      </c>
      <c r="BE277" s="72">
        <f>IF(ROUND(AE277/VLOOKUP($C277,CapRate,21),0)&gt;10,AE277/VLOOKUP($C277,CapRate,21),10)</f>
        <v>95.677419354838705</v>
      </c>
      <c r="BF277" s="72">
        <f>IF(ROUND(AF277/VLOOKUP($C277,CapRate,22),0)&gt;10,AF277/VLOOKUP($C277,CapRate,22),10)</f>
        <v>102.38709677419354</v>
      </c>
      <c r="BG277" s="72">
        <f>IF(ROUND(AG277/VLOOKUP($C277,CapRate,23),0)&gt;10,AG277/VLOOKUP($C277,CapRate,23),10)</f>
        <v>107.22114764667957</v>
      </c>
      <c r="BH277" s="72">
        <f>IF(ROUND(AH277/VLOOKUP($C277,CapRate,24),0)&gt;10,AH277/VLOOKUP($C277,CapRate,24),10)</f>
        <v>112.14470284237726</v>
      </c>
      <c r="BI277" s="72">
        <f>IF(ROUND(AI277/VLOOKUP($C277,CapRate,25),0)&gt;10,AI277/VLOOKUP($C277,CapRate,25),10)</f>
        <v>113.5450421257291</v>
      </c>
      <c r="BJ277" s="72">
        <f>IF(ROUND(AJ277/VLOOKUP($C277,CapRate,26),0)&gt;10,AJ277/VLOOKUP($C277,CapRate,26),10)</f>
        <v>118.08093994778068</v>
      </c>
      <c r="BK277" s="75">
        <f t="shared" si="46"/>
        <v>3.9948004220465627E-2</v>
      </c>
      <c r="BL277" s="76"/>
      <c r="BM277" s="219">
        <f>BK277</f>
        <v>3.9948004220465627E-2</v>
      </c>
      <c r="BN277" s="220"/>
      <c r="BO277" s="220"/>
      <c r="BP277" s="220"/>
      <c r="BQ277" s="77">
        <f>AVERAGE(BL279:BL319)</f>
        <v>7.0755398559088616E-3</v>
      </c>
    </row>
    <row r="278" spans="1:69" ht="15.9" customHeight="1">
      <c r="A278" s="8"/>
      <c r="B278" s="22"/>
      <c r="C278" s="8" t="s">
        <v>140</v>
      </c>
      <c r="D278" s="23"/>
      <c r="E278" s="8" t="s">
        <v>85</v>
      </c>
      <c r="F278" s="188">
        <f>[1]AcreSummary!L81</f>
        <v>8.4140289447175873E-2</v>
      </c>
      <c r="G278" s="25"/>
      <c r="H278" s="117"/>
      <c r="I278" s="57"/>
      <c r="J278" s="58">
        <f>[1]Tame!D48</f>
        <v>13.18</v>
      </c>
      <c r="K278" s="80">
        <f>[1]Tame!E48</f>
        <v>12.87</v>
      </c>
      <c r="L278" s="68">
        <f>[1]Tame!F48</f>
        <v>12.58</v>
      </c>
      <c r="M278" s="58">
        <f>[1]Tame!G48</f>
        <v>12.5</v>
      </c>
      <c r="N278" s="81">
        <f>[1]Tame!H48</f>
        <v>12.46</v>
      </c>
      <c r="O278" s="62">
        <v>12.74</v>
      </c>
      <c r="P278" s="81">
        <f>[1]Tame!I48</f>
        <v>12.32</v>
      </c>
      <c r="Q278" s="82">
        <f>[1]Tame!J48</f>
        <v>12.36</v>
      </c>
      <c r="R278" s="83">
        <v>12.36</v>
      </c>
      <c r="S278" s="84">
        <f>[1]Tame!K48</f>
        <v>12.22</v>
      </c>
      <c r="T278" s="66">
        <f>[1]Tame!L48</f>
        <v>11.96</v>
      </c>
      <c r="U278" s="67">
        <f>[1]Tame!M48</f>
        <v>12.28</v>
      </c>
      <c r="V278" s="68">
        <f>[1]Tame!N48</f>
        <v>4.24</v>
      </c>
      <c r="W278" s="68">
        <f>[1]Tame!O48</f>
        <v>3.18</v>
      </c>
      <c r="X278" s="68">
        <v>2.93</v>
      </c>
      <c r="Y278" s="68">
        <v>2.66</v>
      </c>
      <c r="Z278" s="68">
        <v>4.49</v>
      </c>
      <c r="AA278" s="68">
        <v>6.63</v>
      </c>
      <c r="AB278" s="68">
        <v>8.73</v>
      </c>
      <c r="AC278" s="68">
        <v>0</v>
      </c>
      <c r="AD278" s="68">
        <v>12.34</v>
      </c>
      <c r="AE278" s="68">
        <v>14.14</v>
      </c>
      <c r="AF278" s="68">
        <v>15.05</v>
      </c>
      <c r="AG278" s="69">
        <v>16.079999999999998</v>
      </c>
      <c r="AH278" s="70">
        <v>17.05</v>
      </c>
      <c r="AI278" s="70">
        <v>17.53</v>
      </c>
      <c r="AJ278" s="70">
        <v>18.37</v>
      </c>
      <c r="AK278" s="8">
        <f>ROUND(J278/VLOOKUP($C278,CapRate,2),0)</f>
        <v>88</v>
      </c>
      <c r="AL278" s="8">
        <f>ROUND(K278/VLOOKUP($C278,CapRate,3),0)</f>
        <v>86</v>
      </c>
      <c r="AM278" s="85">
        <f>ROUND(L278/VLOOKUP($C278,CapRate,4),0)</f>
        <v>83</v>
      </c>
      <c r="AN278" s="23">
        <f>ROUND(M278/VLOOKUP($C278,CapRate,5),0)</f>
        <v>84</v>
      </c>
      <c r="AO278" s="85">
        <f t="shared" si="53"/>
        <v>89</v>
      </c>
      <c r="AP278" s="72">
        <f t="shared" si="54"/>
        <v>87</v>
      </c>
      <c r="AQ278" s="71">
        <f t="shared" si="43"/>
        <v>87</v>
      </c>
      <c r="AR278" s="71">
        <f t="shared" si="43"/>
        <v>87</v>
      </c>
      <c r="AS278" s="71">
        <f t="shared" si="47"/>
        <v>86</v>
      </c>
      <c r="AT278" s="71">
        <f t="shared" si="48"/>
        <v>84</v>
      </c>
      <c r="AU278" s="71">
        <f t="shared" si="44"/>
        <v>86</v>
      </c>
      <c r="AV278" s="72">
        <f>IF(ROUND(V278/VLOOKUP($C278,CapRate,12),0)&gt;AV277,V278/VLOOKUP($C278,CapRate,12),AV277)</f>
        <v>55</v>
      </c>
      <c r="AW278" s="72">
        <f>IF(ROUND(W278/VLOOKUP($C278,CapRate,13),0)&gt;AW277,W278/VLOOKUP($C278,CapRate,13),AW277)</f>
        <v>48</v>
      </c>
      <c r="AX278" s="72">
        <f>IF(ROUND(X278/VLOOKUP($C278,CapRate,14),0)&gt;AX277,X278/VLOOKUP($C278,CapRate,14),AX277)</f>
        <v>52.508361204013376</v>
      </c>
      <c r="AY278" s="72">
        <f>IF(ROUND(Y278/VLOOKUP($C278,CapRate,15),0)&gt;AY277,Y278/VLOOKUP($C278,CapRate,15),AY277)</f>
        <v>49.966909331568495</v>
      </c>
      <c r="AZ278" s="72">
        <f>IF(ROUND(Z278/VLOOKUP($C278,CapRate,16),0)&gt;AZ277,Z278/VLOOKUP($C278,CapRate,16),AZ277)</f>
        <v>56.134564643799465</v>
      </c>
      <c r="BA278" s="72">
        <f>IF(ROUND(AA278/VLOOKUP($C278,CapRate,17),0)&gt;BA277,AA278/VLOOKUP($C278,CapRate,17),BA277)</f>
        <v>62.842242503259456</v>
      </c>
      <c r="BB278" s="72">
        <f>IF(ROUND(AB278/VLOOKUP($C278,CapRate,18),0)&gt;BB277,AB278/VLOOKUP($C278,CapRate,18),BB277)</f>
        <v>69.740259740259745</v>
      </c>
      <c r="BC278" s="72">
        <f>IF(ROUND(AC278/VLOOKUP($C278,CapRate,19),0)&gt;BC277,AC278/VLOOKUP($C278,CapRate,19),BC277)</f>
        <v>76.893203883495147</v>
      </c>
      <c r="BD278" s="72">
        <f>IF(ROUND(AD278/VLOOKUP($C278,CapRate,20),0)&gt;BD277,AD278/VLOOKUP($C278,CapRate,20),BD277)</f>
        <v>86.184635248547437</v>
      </c>
      <c r="BE278" s="72">
        <f>IF(ROUND(AE278/VLOOKUP($C278,CapRate,21),0)&gt;BE277,AE278/VLOOKUP($C278,CapRate,21),BE277)</f>
        <v>95.677419354838705</v>
      </c>
      <c r="BF278" s="72">
        <f>IF(ROUND(AF278/VLOOKUP($C278,CapRate,22),0)&gt;BF277,AF278/VLOOKUP($C278,CapRate,22),BF277)</f>
        <v>102.38709677419354</v>
      </c>
      <c r="BG278" s="72">
        <f>IF(ROUND(AG278/VLOOKUP($C278,CapRate,23),0)&gt;BG277,AG278/VLOOKUP($C278,CapRate,23),BG277)</f>
        <v>107.22114764667957</v>
      </c>
      <c r="BH278" s="72">
        <f>IF(ROUND(AH278/VLOOKUP($C278,CapRate,24),0)&gt;BH277,AH278/VLOOKUP($C278,CapRate,24),BH277)</f>
        <v>112.14470284237726</v>
      </c>
      <c r="BI278" s="72">
        <f>IF(ROUND(AI278/VLOOKUP($C278,CapRate,25),0)&gt;BI277,AI278/VLOOKUP($C278,CapRate,25),BI277)</f>
        <v>113.60985093972782</v>
      </c>
      <c r="BJ278" s="72">
        <f>IF(ROUND(AJ278/VLOOKUP($C278,CapRate,26),0)&gt;BJ277,AJ278/VLOOKUP($C278,CapRate,26),BJ277)</f>
        <v>119.90861618798957</v>
      </c>
      <c r="BK278" s="87">
        <f t="shared" si="46"/>
        <v>5.5442069469868072E-2</v>
      </c>
      <c r="BL278" s="76"/>
      <c r="BM278" s="77"/>
      <c r="BN278" s="77"/>
      <c r="BO278" s="77"/>
      <c r="BP278" s="77">
        <f>BK278</f>
        <v>5.5442069469868072E-2</v>
      </c>
    </row>
    <row r="279" spans="1:69" ht="15.9" customHeight="1" thickBot="1">
      <c r="A279" s="8" t="s">
        <v>138</v>
      </c>
      <c r="B279" s="22"/>
      <c r="C279" s="90" t="s">
        <v>140</v>
      </c>
      <c r="D279" s="91"/>
      <c r="E279" s="90" t="s">
        <v>40</v>
      </c>
      <c r="F279" s="190">
        <f>[1]AcreSummary!J81</f>
        <v>0.4083584506029081</v>
      </c>
      <c r="G279" s="191"/>
      <c r="H279" s="94"/>
      <c r="I279" s="95">
        <f>[1]Dry!E81</f>
        <v>28.09</v>
      </c>
      <c r="J279" s="96">
        <f>[1]Dry!F81</f>
        <v>28.28</v>
      </c>
      <c r="K279" s="97">
        <f>[1]Dry!G81</f>
        <v>29.34</v>
      </c>
      <c r="L279" s="98">
        <f>[1]Dry!H81</f>
        <v>30.69</v>
      </c>
      <c r="M279" s="96">
        <f>[1]Dry!I81</f>
        <v>32.28</v>
      </c>
      <c r="N279" s="99">
        <f>[1]Dry!J81</f>
        <v>33.75</v>
      </c>
      <c r="O279" s="100">
        <v>33.72</v>
      </c>
      <c r="P279" s="99">
        <f>[1]Dry!K81</f>
        <v>33.33</v>
      </c>
      <c r="Q279" s="101">
        <f>[1]Dry!L81</f>
        <v>32.880000000000003</v>
      </c>
      <c r="R279" s="221">
        <f>Q279*0.95</f>
        <v>31.236000000000001</v>
      </c>
      <c r="S279" s="103">
        <f>[1]Dry!N81</f>
        <v>31.34</v>
      </c>
      <c r="T279" s="104">
        <f>[1]Dry!O81</f>
        <v>29.86</v>
      </c>
      <c r="U279" s="105">
        <f>[1]Dry!P81</f>
        <v>27.67</v>
      </c>
      <c r="V279" s="98">
        <f>[1]Dry!Q81</f>
        <v>21.15</v>
      </c>
      <c r="W279" s="98">
        <f>[1]Dry!R81</f>
        <v>25.36</v>
      </c>
      <c r="X279" s="98">
        <f>[1]Dry!S81</f>
        <v>29.78</v>
      </c>
      <c r="Y279" s="98">
        <f>[1]Dry!T81</f>
        <v>34.61</v>
      </c>
      <c r="Z279" s="98">
        <v>39.909999999999997</v>
      </c>
      <c r="AA279" s="98">
        <v>46.6</v>
      </c>
      <c r="AB279" s="98">
        <v>50.97</v>
      </c>
      <c r="AC279" s="98">
        <v>53.79</v>
      </c>
      <c r="AD279" s="98">
        <v>55.08</v>
      </c>
      <c r="AE279" s="98">
        <v>54.64</v>
      </c>
      <c r="AF279" s="98">
        <v>57.13</v>
      </c>
      <c r="AG279" s="106">
        <v>60.05</v>
      </c>
      <c r="AH279" s="107">
        <v>59.06</v>
      </c>
      <c r="AI279" s="107">
        <v>52.33</v>
      </c>
      <c r="AJ279" s="107">
        <v>50.09</v>
      </c>
      <c r="AK279" s="90">
        <f t="shared" si="49"/>
        <v>189</v>
      </c>
      <c r="AL279" s="90">
        <f t="shared" si="50"/>
        <v>195</v>
      </c>
      <c r="AM279" s="108">
        <f t="shared" si="51"/>
        <v>202</v>
      </c>
      <c r="AN279" s="91">
        <f t="shared" si="52"/>
        <v>216</v>
      </c>
      <c r="AO279" s="108">
        <f t="shared" si="53"/>
        <v>235</v>
      </c>
      <c r="AP279" s="109">
        <f t="shared" si="54"/>
        <v>236</v>
      </c>
      <c r="AQ279" s="110">
        <f t="shared" si="43"/>
        <v>231</v>
      </c>
      <c r="AR279" s="222">
        <f t="shared" si="43"/>
        <v>220</v>
      </c>
      <c r="AS279" s="110">
        <f t="shared" si="47"/>
        <v>220</v>
      </c>
      <c r="AT279" s="110">
        <f t="shared" si="48"/>
        <v>209</v>
      </c>
      <c r="AU279" s="110">
        <f t="shared" si="44"/>
        <v>194</v>
      </c>
      <c r="AV279" s="109">
        <f t="shared" si="45"/>
        <v>143</v>
      </c>
      <c r="AW279" s="109">
        <f>ROUND(W279/VLOOKUP($C279,CapRate,13),0)</f>
        <v>170</v>
      </c>
      <c r="AX279" s="72">
        <f>ROUND(X279/VLOOKUP($C279,CapRate,14),0)</f>
        <v>199</v>
      </c>
      <c r="AY279" s="72">
        <f>ROUND(Y279/VLOOKUP($C279,CapRate,15),0)</f>
        <v>229</v>
      </c>
      <c r="AZ279" s="72">
        <f>ROUND(Z279/VLOOKUP($C279,CapRate,16),0)</f>
        <v>263</v>
      </c>
      <c r="BA279" s="72">
        <f>ROUND(AA279/VLOOKUP($C279,CapRate,17),0)</f>
        <v>304</v>
      </c>
      <c r="BB279" s="72">
        <f>ROUND(AB279/VLOOKUP($C279,CapRate,18),0)</f>
        <v>331</v>
      </c>
      <c r="BC279" s="72">
        <f>ROUND(AC279/VLOOKUP($C279,CapRate,19),0)</f>
        <v>348</v>
      </c>
      <c r="BD279" s="72">
        <f>ROUND(AD279/VLOOKUP($C279,CapRate,20),0)</f>
        <v>356</v>
      </c>
      <c r="BE279" s="72">
        <f>ROUND(AE279/VLOOKUP($C279,CapRate,21),0)</f>
        <v>353</v>
      </c>
      <c r="BF279" s="72">
        <f>ROUND(AF279/VLOOKUP($C279,CapRate,22),0)</f>
        <v>369</v>
      </c>
      <c r="BG279" s="72">
        <f>ROUND(AG279/VLOOKUP($C279,CapRate,23),0)</f>
        <v>387</v>
      </c>
      <c r="BH279" s="72">
        <f>ROUND(AH279/VLOOKUP($C279,CapRate,24),0)</f>
        <v>382</v>
      </c>
      <c r="BI279" s="72">
        <f>ROUND(AI279/VLOOKUP($C279,CapRate,25),0)</f>
        <v>339</v>
      </c>
      <c r="BJ279" s="72">
        <f>ROUND(AJ279/VLOOKUP($C279,CapRate,26),0)</f>
        <v>327</v>
      </c>
      <c r="BK279" s="87">
        <f t="shared" si="46"/>
        <v>-3.539823008849563E-2</v>
      </c>
      <c r="BL279" s="114">
        <f>((F277*BK277)+(F278*BK278)+(F279*BK279))</f>
        <v>1.0253955124935689E-2</v>
      </c>
      <c r="BM279" s="226"/>
      <c r="BN279" s="227">
        <f>BK279</f>
        <v>-3.539823008849563E-2</v>
      </c>
      <c r="BO279" s="227"/>
      <c r="BP279" s="227"/>
    </row>
    <row r="280" spans="1:69" ht="15.9" customHeight="1" thickTop="1">
      <c r="A280" s="8" t="s">
        <v>138</v>
      </c>
      <c r="B280" s="22"/>
      <c r="C280" s="8" t="s">
        <v>141</v>
      </c>
      <c r="D280" s="23" t="s">
        <v>141</v>
      </c>
      <c r="E280" s="8" t="s">
        <v>39</v>
      </c>
      <c r="F280" s="188">
        <f>[1]AcreSummary!M82</f>
        <v>0.86877058179975952</v>
      </c>
      <c r="G280" s="25"/>
      <c r="H280" s="117"/>
      <c r="I280" s="57">
        <f>[1]Native!E80</f>
        <v>8.0299999999999994</v>
      </c>
      <c r="J280" s="58">
        <f>[1]Native!F80</f>
        <v>8.2100000000000009</v>
      </c>
      <c r="K280" s="80">
        <f>[1]Native!G80</f>
        <v>8.42</v>
      </c>
      <c r="L280" s="68">
        <f>[1]Native!H80</f>
        <v>8.52</v>
      </c>
      <c r="M280" s="58">
        <f>[1]Native!I80</f>
        <v>8.84</v>
      </c>
      <c r="N280" s="81">
        <f>[1]Native!J80</f>
        <v>9.18</v>
      </c>
      <c r="O280" s="62">
        <v>9.2899999999999991</v>
      </c>
      <c r="P280" s="81">
        <f>[1]Native!K80</f>
        <v>9.49</v>
      </c>
      <c r="Q280" s="82">
        <f>[1]Native!L80</f>
        <v>9.67</v>
      </c>
      <c r="R280" s="83">
        <v>9.67</v>
      </c>
      <c r="S280" s="84">
        <f>[1]Native!M80</f>
        <v>9.85</v>
      </c>
      <c r="T280" s="66">
        <f>[1]Native!N80</f>
        <v>9.99</v>
      </c>
      <c r="U280" s="67">
        <f>[1]Native!O80</f>
        <v>10.01</v>
      </c>
      <c r="V280" s="68">
        <f>[1]Native!P80</f>
        <v>5.89</v>
      </c>
      <c r="W280" s="68">
        <f>[1]Native!Q80</f>
        <v>5.0599999999999996</v>
      </c>
      <c r="X280" s="68">
        <v>4.96</v>
      </c>
      <c r="Y280" s="68">
        <v>4.8499999999999996</v>
      </c>
      <c r="Z280" s="68">
        <v>8.16</v>
      </c>
      <c r="AA280" s="68">
        <v>9.6300000000000008</v>
      </c>
      <c r="AB280" s="68">
        <v>8.44</v>
      </c>
      <c r="AC280" s="68">
        <v>9.5</v>
      </c>
      <c r="AD280" s="68">
        <v>10.94</v>
      </c>
      <c r="AE280" s="68">
        <v>12.39</v>
      </c>
      <c r="AF280" s="68">
        <v>13.1</v>
      </c>
      <c r="AG280" s="69">
        <v>13.83</v>
      </c>
      <c r="AH280" s="70">
        <v>14.52</v>
      </c>
      <c r="AI280" s="70">
        <v>14.63</v>
      </c>
      <c r="AJ280" s="70">
        <v>15.15</v>
      </c>
      <c r="AK280" s="8">
        <f t="shared" si="49"/>
        <v>55</v>
      </c>
      <c r="AL280" s="8">
        <f t="shared" si="50"/>
        <v>56</v>
      </c>
      <c r="AM280" s="85">
        <f t="shared" si="51"/>
        <v>56</v>
      </c>
      <c r="AN280" s="23">
        <f t="shared" si="52"/>
        <v>60</v>
      </c>
      <c r="AO280" s="85">
        <f t="shared" si="53"/>
        <v>65</v>
      </c>
      <c r="AP280" s="72">
        <f t="shared" si="54"/>
        <v>68</v>
      </c>
      <c r="AQ280" s="71">
        <f t="shared" si="43"/>
        <v>69</v>
      </c>
      <c r="AR280" s="71">
        <f t="shared" si="43"/>
        <v>69</v>
      </c>
      <c r="AS280" s="71">
        <f t="shared" si="47"/>
        <v>70</v>
      </c>
      <c r="AT280" s="71">
        <f t="shared" si="48"/>
        <v>71</v>
      </c>
      <c r="AU280" s="71">
        <f t="shared" si="44"/>
        <v>71</v>
      </c>
      <c r="AV280" s="72">
        <f t="shared" si="45"/>
        <v>41</v>
      </c>
      <c r="AW280" s="72">
        <f>ROUND(W280/VLOOKUP($C280,CapRate,13),0)</f>
        <v>35</v>
      </c>
      <c r="AX280" s="122">
        <f>IF(ROUND(X280/VLOOKUP($C280,CapRate,14),0)&gt;10,X280/VLOOKUP($C280,CapRate,14),10)</f>
        <v>33.972602739726028</v>
      </c>
      <c r="AY280" s="122">
        <f>IF(ROUND(Y280/VLOOKUP($C280,CapRate,15),0)&gt;10,Y280/VLOOKUP($C280,CapRate,15),10)</f>
        <v>32.970768184908223</v>
      </c>
      <c r="AZ280" s="122">
        <f>IF(ROUND(Z280/VLOOKUP($C280,CapRate,16),0)&gt;10,Z280/VLOOKUP($C280,CapRate,16),10)</f>
        <v>55.434782608695656</v>
      </c>
      <c r="BA280" s="122">
        <f>IF(ROUND(AA280/VLOOKUP($C280,CapRate,17),0)&gt;10,AA280/VLOOKUP($C280,CapRate,17),10)</f>
        <v>65.155615696887693</v>
      </c>
      <c r="BB280" s="122">
        <f>IF(ROUND(AB280/VLOOKUP($C280,CapRate,18),0)&gt;10,AB280/VLOOKUP($C280,CapRate,18),10)</f>
        <v>57.104194857916106</v>
      </c>
      <c r="BC280" s="122">
        <f>IF(ROUND(AC280/VLOOKUP($C280,CapRate,19),0)&gt;10,AC280/VLOOKUP($C280,CapRate,19),10)</f>
        <v>64.232589587559161</v>
      </c>
      <c r="BD280" s="122">
        <f>IF(ROUND(AD280/VLOOKUP($C280,CapRate,20),0)&gt;10,AD280/VLOOKUP($C280,CapRate,20),10)</f>
        <v>73.670033670033675</v>
      </c>
      <c r="BE280" s="122">
        <f>IF(ROUND(AE280/VLOOKUP($C280,CapRate,21),0)&gt;10,AE280/VLOOKUP($C280,CapRate,21),10)</f>
        <v>83.322125084061881</v>
      </c>
      <c r="BF280" s="122">
        <f>IF(ROUND(AF280/VLOOKUP($C280,CapRate,22),0)&gt;10,AF280/VLOOKUP($C280,CapRate,22),10)</f>
        <v>88.037634408602159</v>
      </c>
      <c r="BG280" s="122">
        <f>IF(ROUND(AG280/VLOOKUP($C280,CapRate,23),0)&gt;10,AG280/VLOOKUP($C280,CapRate,23),10)</f>
        <v>92.818791946308735</v>
      </c>
      <c r="BH280" s="122">
        <f>IF(ROUND(AH280/VLOOKUP($C280,CapRate,24),0)&gt;10,AH280/VLOOKUP($C280,CapRate,24),10)</f>
        <v>97.253851306095115</v>
      </c>
      <c r="BI280" s="122">
        <f>IF(ROUND(AI280/VLOOKUP($C280,CapRate,25),0)&gt;10,AI280/VLOOKUP($C280,CapRate,25),10)</f>
        <v>97.990622906898878</v>
      </c>
      <c r="BJ280" s="122">
        <f>IF(ROUND(AJ280/VLOOKUP($C280,CapRate,26),0)&gt;10,AJ280/VLOOKUP($C280,CapRate,26),10)</f>
        <v>101</v>
      </c>
      <c r="BK280" s="75">
        <f t="shared" si="46"/>
        <v>3.0710868079288911E-2</v>
      </c>
      <c r="BL280" s="76"/>
      <c r="BM280" s="219">
        <f>BK280</f>
        <v>3.0710868079288911E-2</v>
      </c>
      <c r="BN280" s="220"/>
      <c r="BO280" s="220"/>
      <c r="BP280" s="220"/>
    </row>
    <row r="281" spans="1:69" ht="15.9" customHeight="1">
      <c r="A281" s="8"/>
      <c r="B281" s="22"/>
      <c r="C281" s="8" t="s">
        <v>141</v>
      </c>
      <c r="D281" s="23"/>
      <c r="E281" s="8" t="s">
        <v>85</v>
      </c>
      <c r="F281" s="188">
        <f>[1]AcreSummary!L82</f>
        <v>4.219620764239871E-2</v>
      </c>
      <c r="G281" s="25"/>
      <c r="H281" s="117"/>
      <c r="I281" s="57"/>
      <c r="J281" s="58">
        <f>[1]Tame!D49</f>
        <v>12.65</v>
      </c>
      <c r="K281" s="80">
        <f>[1]Tame!E49</f>
        <v>12.27</v>
      </c>
      <c r="L281" s="68">
        <f>[1]Tame!F49</f>
        <v>11.91</v>
      </c>
      <c r="M281" s="58">
        <f>[1]Tame!G49</f>
        <v>11.73</v>
      </c>
      <c r="N281" s="81">
        <f>[1]Tame!H49</f>
        <v>11.3</v>
      </c>
      <c r="O281" s="62">
        <v>12.01</v>
      </c>
      <c r="P281" s="81">
        <f>[1]Tame!I49</f>
        <v>10.79</v>
      </c>
      <c r="Q281" s="82">
        <f>[1]Tame!J49</f>
        <v>10.62</v>
      </c>
      <c r="R281" s="83">
        <v>10.62</v>
      </c>
      <c r="S281" s="84">
        <f>[1]Tame!K49</f>
        <v>10.16</v>
      </c>
      <c r="T281" s="66">
        <f>[1]Tame!L49</f>
        <v>9.33</v>
      </c>
      <c r="U281" s="67">
        <f>[1]Tame!M49</f>
        <v>9.35</v>
      </c>
      <c r="V281" s="68">
        <f>[1]Tame!N49</f>
        <v>-0.23</v>
      </c>
      <c r="W281" s="68">
        <f>[1]Tame!O49</f>
        <v>-0.77</v>
      </c>
      <c r="X281" s="68">
        <v>-0.51</v>
      </c>
      <c r="Y281" s="68">
        <v>-0.23</v>
      </c>
      <c r="Z281" s="68">
        <v>2.14</v>
      </c>
      <c r="AA281" s="68">
        <v>4.8499999999999996</v>
      </c>
      <c r="AB281" s="68">
        <v>8.75</v>
      </c>
      <c r="AC281" s="68">
        <v>12.75</v>
      </c>
      <c r="AD281" s="68">
        <v>14.32</v>
      </c>
      <c r="AE281" s="68">
        <v>16.149999999999999</v>
      </c>
      <c r="AF281" s="68">
        <v>17.149999999999999</v>
      </c>
      <c r="AG281" s="69">
        <v>18.21</v>
      </c>
      <c r="AH281" s="70">
        <v>19.23</v>
      </c>
      <c r="AI281" s="70">
        <v>19.739999999999998</v>
      </c>
      <c r="AJ281" s="70">
        <v>20.62</v>
      </c>
      <c r="AK281" s="8">
        <f>ROUND(J281/VLOOKUP($C281,CapRate,2),0)</f>
        <v>85</v>
      </c>
      <c r="AL281" s="8">
        <f>ROUND(K281/VLOOKUP($C281,CapRate,3),0)</f>
        <v>82</v>
      </c>
      <c r="AM281" s="85">
        <f>ROUND(L281/VLOOKUP($C281,CapRate,4),0)</f>
        <v>79</v>
      </c>
      <c r="AN281" s="23">
        <f>ROUND(M281/VLOOKUP($C281,CapRate,5),0)</f>
        <v>79</v>
      </c>
      <c r="AO281" s="85">
        <f t="shared" si="53"/>
        <v>85</v>
      </c>
      <c r="AP281" s="72">
        <f t="shared" si="54"/>
        <v>77</v>
      </c>
      <c r="AQ281" s="71">
        <f t="shared" si="43"/>
        <v>75</v>
      </c>
      <c r="AR281" s="71">
        <f t="shared" si="43"/>
        <v>75</v>
      </c>
      <c r="AS281" s="71">
        <f t="shared" si="47"/>
        <v>72</v>
      </c>
      <c r="AT281" s="71">
        <f t="shared" si="48"/>
        <v>66</v>
      </c>
      <c r="AU281" s="71">
        <f t="shared" si="44"/>
        <v>66</v>
      </c>
      <c r="AV281" s="72">
        <f>IF(ROUND(V281/VLOOKUP($C281,CapRate,12),0)&gt;AV280,V281/VLOOKUP($C281,CapRate,12),AV280)</f>
        <v>41</v>
      </c>
      <c r="AW281" s="72">
        <f>IF(ROUND(W281/VLOOKUP($C281,CapRate,13),0)&gt;AW280,W281/VLOOKUP($C281,CapRate,13),AW280)</f>
        <v>35</v>
      </c>
      <c r="AX281" s="72">
        <f>IF(ROUND(X281/VLOOKUP($C281,CapRate,14),0)&gt;AX280,X281/VLOOKUP($C281,CapRate,14),AX280)</f>
        <v>33.972602739726028</v>
      </c>
      <c r="AY281" s="72">
        <f>IF(ROUND(Y281/VLOOKUP($C281,CapRate,15),0)&gt;AY280,Y281/VLOOKUP($C281,CapRate,15),AY280)</f>
        <v>32.970768184908223</v>
      </c>
      <c r="AZ281" s="72">
        <f>IF(ROUND(Z281/VLOOKUP($C281,CapRate,16),0)&gt;AZ280,Z281/VLOOKUP($C281,CapRate,16),AZ280)</f>
        <v>55.434782608695656</v>
      </c>
      <c r="BA281" s="72">
        <f>IF(ROUND(AA281/VLOOKUP($C281,CapRate,17),0)&gt;BA280,AA281/VLOOKUP($C281,CapRate,17),BA280)</f>
        <v>65.155615696887693</v>
      </c>
      <c r="BB281" s="72">
        <f>IF(ROUND(AB281/VLOOKUP($C281,CapRate,18),0)&gt;BB280,AB281/VLOOKUP($C281,CapRate,18),BB280)</f>
        <v>59.20162381596753</v>
      </c>
      <c r="BC281" s="72">
        <f>IF(ROUND(AC281/VLOOKUP($C281,CapRate,19),0)&gt;BC280,AC281/VLOOKUP($C281,CapRate,19),BC280)</f>
        <v>86.206896551724142</v>
      </c>
      <c r="BD281" s="72">
        <f>IF(ROUND(AD281/VLOOKUP($C281,CapRate,20),0)&gt;BD280,AD281/VLOOKUP($C281,CapRate,20),BD280)</f>
        <v>96.430976430976443</v>
      </c>
      <c r="BE281" s="72">
        <f>IF(ROUND(AE281/VLOOKUP($C281,CapRate,21),0)&gt;BE280,AE281/VLOOKUP($C281,CapRate,21),BE280)</f>
        <v>108.60793544048418</v>
      </c>
      <c r="BF281" s="72">
        <f>IF(ROUND(AF281/VLOOKUP($C281,CapRate,22),0)&gt;BF280,AF281/VLOOKUP($C281,CapRate,22),BF280)</f>
        <v>115.25537634408602</v>
      </c>
      <c r="BG281" s="72">
        <f>IF(ROUND(AG281/VLOOKUP($C281,CapRate,23),0)&gt;BG280,AG281/VLOOKUP($C281,CapRate,23),BG280)</f>
        <v>122.21476510067116</v>
      </c>
      <c r="BH281" s="72">
        <f>IF(ROUND(AH281/VLOOKUP($C281,CapRate,24),0)&gt;BH280,AH281/VLOOKUP($C281,CapRate,24),BH280)</f>
        <v>128.80107166778299</v>
      </c>
      <c r="BI281" s="72">
        <f>IF(ROUND(AI281/VLOOKUP($C281,CapRate,25),0)&gt;BI280,AI281/VLOOKUP($C281,CapRate,25),BI280)</f>
        <v>132.21701272605492</v>
      </c>
      <c r="BJ281" s="72">
        <f>IF(ROUND(AJ281/VLOOKUP($C281,CapRate,26),0)&gt;BJ280,AJ281/VLOOKUP($C281,CapRate,26),BJ280)</f>
        <v>137.46666666666667</v>
      </c>
      <c r="BK281" s="87">
        <f t="shared" si="46"/>
        <v>3.970482944951037E-2</v>
      </c>
      <c r="BL281" s="76"/>
      <c r="BM281" s="77"/>
      <c r="BN281" s="77"/>
      <c r="BO281" s="77"/>
      <c r="BP281" s="77">
        <f>BK281</f>
        <v>3.970482944951037E-2</v>
      </c>
    </row>
    <row r="282" spans="1:69" ht="15.9" customHeight="1" thickBot="1">
      <c r="A282" s="8" t="s">
        <v>138</v>
      </c>
      <c r="B282" s="22"/>
      <c r="C282" s="90" t="s">
        <v>141</v>
      </c>
      <c r="D282" s="91"/>
      <c r="E282" s="90" t="s">
        <v>40</v>
      </c>
      <c r="F282" s="190">
        <f>[1]AcreSummary!J82</f>
        <v>8.8888311307238788E-2</v>
      </c>
      <c r="G282" s="191"/>
      <c r="H282" s="94"/>
      <c r="I282" s="95">
        <f>[1]Dry!E82</f>
        <v>24.91</v>
      </c>
      <c r="J282" s="96">
        <f>[1]Dry!F82</f>
        <v>24.09</v>
      </c>
      <c r="K282" s="97">
        <f>[1]Dry!G82</f>
        <v>24.91</v>
      </c>
      <c r="L282" s="98">
        <f>[1]Dry!H82</f>
        <v>26.19</v>
      </c>
      <c r="M282" s="96">
        <f>[1]Dry!I82</f>
        <v>28.04</v>
      </c>
      <c r="N282" s="99">
        <f>[1]Dry!J82</f>
        <v>30.05</v>
      </c>
      <c r="O282" s="100">
        <v>30.7</v>
      </c>
      <c r="P282" s="99">
        <f>[1]Dry!K82</f>
        <v>31.05</v>
      </c>
      <c r="Q282" s="101">
        <f>[1]Dry!L82</f>
        <v>31.84</v>
      </c>
      <c r="R282" s="221">
        <f>Q282*0.95</f>
        <v>30.247999999999998</v>
      </c>
      <c r="S282" s="103">
        <f>[1]Dry!N82</f>
        <v>32.46</v>
      </c>
      <c r="T282" s="104">
        <f>[1]Dry!O82</f>
        <v>33.21</v>
      </c>
      <c r="U282" s="105">
        <f>[1]Dry!P82</f>
        <v>32.619999999999997</v>
      </c>
      <c r="V282" s="98">
        <f>[1]Dry!Q82</f>
        <v>30.79</v>
      </c>
      <c r="W282" s="98">
        <f>[1]Dry!R82</f>
        <v>33.82</v>
      </c>
      <c r="X282" s="98">
        <f>[1]Dry!S82</f>
        <v>37.14</v>
      </c>
      <c r="Y282" s="98">
        <f>[1]Dry!T82</f>
        <v>40.229999999999997</v>
      </c>
      <c r="Z282" s="98">
        <v>44.84</v>
      </c>
      <c r="AA282" s="98">
        <v>45.67</v>
      </c>
      <c r="AB282" s="98">
        <v>48.38</v>
      </c>
      <c r="AC282" s="98">
        <v>53.49</v>
      </c>
      <c r="AD282" s="98">
        <v>52.95</v>
      </c>
      <c r="AE282" s="98">
        <v>51.09</v>
      </c>
      <c r="AF282" s="98">
        <v>52.19</v>
      </c>
      <c r="AG282" s="106">
        <v>54.09</v>
      </c>
      <c r="AH282" s="107">
        <v>51.47</v>
      </c>
      <c r="AI282" s="107">
        <v>44.51</v>
      </c>
      <c r="AJ282" s="107">
        <v>42.26</v>
      </c>
      <c r="AK282" s="90">
        <f t="shared" si="49"/>
        <v>161</v>
      </c>
      <c r="AL282" s="90">
        <f t="shared" si="50"/>
        <v>166</v>
      </c>
      <c r="AM282" s="108">
        <f t="shared" si="51"/>
        <v>173</v>
      </c>
      <c r="AN282" s="91">
        <f t="shared" si="52"/>
        <v>189</v>
      </c>
      <c r="AO282" s="108">
        <f t="shared" si="53"/>
        <v>216</v>
      </c>
      <c r="AP282" s="109">
        <f t="shared" si="54"/>
        <v>221</v>
      </c>
      <c r="AQ282" s="110">
        <f t="shared" si="43"/>
        <v>226</v>
      </c>
      <c r="AR282" s="222">
        <f t="shared" si="43"/>
        <v>215</v>
      </c>
      <c r="AS282" s="110">
        <f t="shared" si="47"/>
        <v>230</v>
      </c>
      <c r="AT282" s="110">
        <f t="shared" si="48"/>
        <v>235</v>
      </c>
      <c r="AU282" s="110">
        <f t="shared" si="44"/>
        <v>231</v>
      </c>
      <c r="AV282" s="109">
        <f t="shared" si="45"/>
        <v>212</v>
      </c>
      <c r="AW282" s="109">
        <f>ROUND(W282/VLOOKUP($C282,CapRate,13),0)</f>
        <v>232</v>
      </c>
      <c r="AX282" s="72">
        <f>ROUND(X282/VLOOKUP($C282,CapRate,14),0)</f>
        <v>254</v>
      </c>
      <c r="AY282" s="72">
        <f>ROUND(Y282/VLOOKUP($C282,CapRate,15),0)</f>
        <v>273</v>
      </c>
      <c r="AZ282" s="72">
        <f>ROUND(Z282/VLOOKUP($C282,CapRate,16),0)</f>
        <v>305</v>
      </c>
      <c r="BA282" s="72">
        <f>ROUND(AA282/VLOOKUP($C282,CapRate,17),0)</f>
        <v>309</v>
      </c>
      <c r="BB282" s="72">
        <f>ROUND(AB282/VLOOKUP($C282,CapRate,18),0)</f>
        <v>327</v>
      </c>
      <c r="BC282" s="72">
        <f>ROUND(AC282/VLOOKUP($C282,CapRate,19),0)</f>
        <v>362</v>
      </c>
      <c r="BD282" s="72">
        <f>ROUND(AD282/VLOOKUP($C282,CapRate,20),0)</f>
        <v>357</v>
      </c>
      <c r="BE282" s="72">
        <f>ROUND(AE282/VLOOKUP($C282,CapRate,21),0)</f>
        <v>344</v>
      </c>
      <c r="BF282" s="72">
        <f>ROUND(AF282/VLOOKUP($C282,CapRate,22),0)</f>
        <v>351</v>
      </c>
      <c r="BG282" s="72">
        <f>ROUND(AG282/VLOOKUP($C282,CapRate,23),0)</f>
        <v>363</v>
      </c>
      <c r="BH282" s="72">
        <f>ROUND(AH282/VLOOKUP($C282,CapRate,24),0)</f>
        <v>345</v>
      </c>
      <c r="BI282" s="72">
        <f>ROUND(AI282/VLOOKUP($C282,CapRate,25),0)</f>
        <v>298</v>
      </c>
      <c r="BJ282" s="72">
        <f>ROUND(AJ282/VLOOKUP($C282,CapRate,26),0)</f>
        <v>282</v>
      </c>
      <c r="BK282" s="87">
        <f t="shared" si="46"/>
        <v>-5.3691275167785268E-2</v>
      </c>
      <c r="BL282" s="114">
        <v>0</v>
      </c>
      <c r="BM282" s="226"/>
      <c r="BN282" s="227">
        <f>BK282</f>
        <v>-5.3691275167785268E-2</v>
      </c>
      <c r="BO282" s="227"/>
      <c r="BP282" s="227"/>
      <c r="BQ282" s="228" t="s">
        <v>142</v>
      </c>
    </row>
    <row r="283" spans="1:69" ht="15.9" customHeight="1" thickTop="1">
      <c r="A283" s="8" t="s">
        <v>138</v>
      </c>
      <c r="B283" s="22"/>
      <c r="C283" s="8" t="s">
        <v>143</v>
      </c>
      <c r="D283" s="23" t="s">
        <v>143</v>
      </c>
      <c r="E283" s="8" t="s">
        <v>39</v>
      </c>
      <c r="F283" s="188">
        <f>[1]AcreSummary!M83</f>
        <v>0.57227380646940007</v>
      </c>
      <c r="G283" s="25"/>
      <c r="H283" s="117"/>
      <c r="I283" s="57">
        <f>[1]Native!E81</f>
        <v>10.050000000000001</v>
      </c>
      <c r="J283" s="58">
        <f>[1]Native!F81</f>
        <v>10.01</v>
      </c>
      <c r="K283" s="80">
        <f>[1]Native!G81</f>
        <v>10.38</v>
      </c>
      <c r="L283" s="68">
        <f>[1]Native!H81</f>
        <v>10.58</v>
      </c>
      <c r="M283" s="58">
        <f>[1]Native!I81</f>
        <v>11.04</v>
      </c>
      <c r="N283" s="81">
        <f>[1]Native!J81</f>
        <v>11.55</v>
      </c>
      <c r="O283" s="62">
        <v>10.84</v>
      </c>
      <c r="P283" s="81">
        <f>[1]Native!K81</f>
        <v>11.99</v>
      </c>
      <c r="Q283" s="82">
        <f>[1]Native!L81</f>
        <v>12.28</v>
      </c>
      <c r="R283" s="83">
        <v>12.28</v>
      </c>
      <c r="S283" s="84">
        <f>[1]Native!M81</f>
        <v>12.59</v>
      </c>
      <c r="T283" s="66">
        <f>[1]Native!N81</f>
        <v>12.85</v>
      </c>
      <c r="U283" s="67">
        <f>[1]Native!O81</f>
        <v>12.87</v>
      </c>
      <c r="V283" s="68">
        <f>[1]Native!P81</f>
        <v>8.41</v>
      </c>
      <c r="W283" s="68">
        <f>[1]Native!Q81</f>
        <v>7.62</v>
      </c>
      <c r="X283" s="68">
        <v>7.51</v>
      </c>
      <c r="Y283" s="68">
        <v>7.39</v>
      </c>
      <c r="Z283" s="68">
        <v>8.4700000000000006</v>
      </c>
      <c r="AA283" s="68">
        <v>9.7200000000000006</v>
      </c>
      <c r="AB283" s="68">
        <v>10.74</v>
      </c>
      <c r="AC283" s="68">
        <v>11.54</v>
      </c>
      <c r="AD283" s="68">
        <v>12.81</v>
      </c>
      <c r="AE283" s="68">
        <v>14.14</v>
      </c>
      <c r="AF283" s="68">
        <v>15.17</v>
      </c>
      <c r="AG283" s="69">
        <v>16.11</v>
      </c>
      <c r="AH283" s="70">
        <v>17.03</v>
      </c>
      <c r="AI283" s="70">
        <v>17.38</v>
      </c>
      <c r="AJ283" s="70">
        <v>18.149999999999999</v>
      </c>
      <c r="AK283" s="8">
        <f t="shared" si="49"/>
        <v>74</v>
      </c>
      <c r="AL283" s="8">
        <f t="shared" si="50"/>
        <v>76</v>
      </c>
      <c r="AM283" s="85">
        <f t="shared" si="51"/>
        <v>77</v>
      </c>
      <c r="AN283" s="23">
        <f t="shared" si="52"/>
        <v>81</v>
      </c>
      <c r="AO283" s="85">
        <f t="shared" si="53"/>
        <v>83</v>
      </c>
      <c r="AP283" s="72">
        <f t="shared" si="54"/>
        <v>94</v>
      </c>
      <c r="AQ283" s="71">
        <f t="shared" si="43"/>
        <v>96</v>
      </c>
      <c r="AR283" s="71">
        <f t="shared" si="43"/>
        <v>96</v>
      </c>
      <c r="AS283" s="71">
        <f t="shared" si="47"/>
        <v>98</v>
      </c>
      <c r="AT283" s="71">
        <f t="shared" si="48"/>
        <v>100</v>
      </c>
      <c r="AU283" s="71">
        <f t="shared" si="44"/>
        <v>100</v>
      </c>
      <c r="AV283" s="72">
        <f t="shared" si="45"/>
        <v>64</v>
      </c>
      <c r="AW283" s="72">
        <f>ROUND(W283/VLOOKUP($C283,CapRate,13),0)</f>
        <v>58</v>
      </c>
      <c r="AX283" s="122">
        <f>IF(ROUND(X283/VLOOKUP($C283,CapRate,14),0)&gt;10,X283/VLOOKUP($C283,CapRate,14),10)</f>
        <v>56.593820648078363</v>
      </c>
      <c r="AY283" s="122">
        <f>IF(ROUND(Y283/VLOOKUP($C283,CapRate,15),0)&gt;10,Y283/VLOOKUP($C283,CapRate,15),10)</f>
        <v>55.272999252056835</v>
      </c>
      <c r="AZ283" s="122">
        <f>IF(ROUND(Z283/VLOOKUP($C283,CapRate,16),0)&gt;10,Z283/VLOOKUP($C283,CapRate,16),10)</f>
        <v>63.256161314413752</v>
      </c>
      <c r="BA283" s="122">
        <f>IF(ROUND(AA283/VLOOKUP($C283,CapRate,17),0)&gt;10,AA283/VLOOKUP($C283,CapRate,17),10)</f>
        <v>72</v>
      </c>
      <c r="BB283" s="122">
        <f>IF(ROUND(AB283/VLOOKUP($C283,CapRate,18),0)&gt;10,AB283/VLOOKUP($C283,CapRate,18),10)</f>
        <v>79.26199261992619</v>
      </c>
      <c r="BC283" s="122">
        <f>IF(ROUND(AC283/VLOOKUP($C283,CapRate,19),0)&gt;10,AC283/VLOOKUP($C283,CapRate,19),10)</f>
        <v>84.915378955114051</v>
      </c>
      <c r="BD283" s="122">
        <f>IF(ROUND(AD283/VLOOKUP($C283,CapRate,20),0)&gt;10,AD283/VLOOKUP($C283,CapRate,20),10)</f>
        <v>94.191176470588232</v>
      </c>
      <c r="BE283" s="122">
        <f>IF(ROUND(AE283/VLOOKUP($C283,CapRate,21),0)&gt;10,AE283/VLOOKUP($C283,CapRate,21),10)</f>
        <v>103.89419544452609</v>
      </c>
      <c r="BF283" s="122">
        <f>IF(ROUND(AF283/VLOOKUP($C283,CapRate,22),0)&gt;10,AF283/VLOOKUP($C283,CapRate,22),10)</f>
        <v>111.38032305433187</v>
      </c>
      <c r="BG283" s="122">
        <f>IF(ROUND(AG283/VLOOKUP($C283,CapRate,23),0)&gt;10,AG283/VLOOKUP($C283,CapRate,23),10)</f>
        <v>118.10850439882698</v>
      </c>
      <c r="BH283" s="122">
        <f>IF(ROUND(AH283/VLOOKUP($C283,CapRate,24),0)&gt;10,AH283/VLOOKUP($C283,CapRate,24),10)</f>
        <v>124.67057101024891</v>
      </c>
      <c r="BI283" s="122">
        <f>IF(ROUND(AI283/VLOOKUP($C283,CapRate,25),0)&gt;10,AI283/VLOOKUP($C283,CapRate,25),10)</f>
        <v>127.13972201901976</v>
      </c>
      <c r="BJ283" s="122">
        <f>IF(ROUND(AJ283/VLOOKUP($C283,CapRate,26),0)&gt;10,AJ283/VLOOKUP($C283,CapRate,26),10)</f>
        <v>132.57852447041637</v>
      </c>
      <c r="BK283" s="75">
        <f t="shared" si="46"/>
        <v>4.2778152767889432E-2</v>
      </c>
      <c r="BL283" s="76"/>
      <c r="BM283" s="219">
        <f>BK283</f>
        <v>4.2778152767889432E-2</v>
      </c>
      <c r="BN283" s="220"/>
      <c r="BO283" s="220"/>
      <c r="BP283" s="220"/>
    </row>
    <row r="284" spans="1:69" ht="15.9" customHeight="1">
      <c r="A284" s="8"/>
      <c r="B284" s="22"/>
      <c r="C284" s="8" t="s">
        <v>143</v>
      </c>
      <c r="D284" s="23"/>
      <c r="E284" s="8" t="s">
        <v>85</v>
      </c>
      <c r="F284" s="188">
        <f>[1]AcreSummary!L83</f>
        <v>6.2836734781014369E-2</v>
      </c>
      <c r="G284" s="25"/>
      <c r="H284" s="117"/>
      <c r="I284" s="57"/>
      <c r="J284" s="58">
        <f>[1]Tame!D50</f>
        <v>11.88</v>
      </c>
      <c r="K284" s="80">
        <f>[1]Tame!E50</f>
        <v>11.63</v>
      </c>
      <c r="L284" s="68">
        <f>[1]Tame!F50</f>
        <v>11.39</v>
      </c>
      <c r="M284" s="58">
        <f>[1]Tame!G50</f>
        <v>11.35</v>
      </c>
      <c r="N284" s="81">
        <f>[1]Tame!H50</f>
        <v>11.34</v>
      </c>
      <c r="O284" s="62">
        <v>11.3</v>
      </c>
      <c r="P284" s="81">
        <f>[1]Tame!I50</f>
        <v>11.24</v>
      </c>
      <c r="Q284" s="82">
        <f>[1]Tame!J50</f>
        <v>11.3</v>
      </c>
      <c r="R284" s="83">
        <v>11.3</v>
      </c>
      <c r="S284" s="84">
        <f>[1]Tame!K50</f>
        <v>11.22</v>
      </c>
      <c r="T284" s="66">
        <f>[1]Tame!L50</f>
        <v>11.04</v>
      </c>
      <c r="U284" s="67">
        <f>[1]Tame!M50</f>
        <v>11.35</v>
      </c>
      <c r="V284" s="68">
        <f>[1]Tame!N50</f>
        <v>3.75</v>
      </c>
      <c r="W284" s="68">
        <f>[1]Tame!O50</f>
        <v>2.75</v>
      </c>
      <c r="X284" s="68">
        <v>2.5499999999999998</v>
      </c>
      <c r="Y284" s="68">
        <v>2.33</v>
      </c>
      <c r="Z284" s="68">
        <v>4.2</v>
      </c>
      <c r="AA284" s="68">
        <v>6.37</v>
      </c>
      <c r="AB284" s="68">
        <v>8.5399999999999991</v>
      </c>
      <c r="AC284" s="68">
        <v>0</v>
      </c>
      <c r="AD284" s="68">
        <v>11.28</v>
      </c>
      <c r="AE284" s="68">
        <v>12.9</v>
      </c>
      <c r="AF284" s="68">
        <v>12.3</v>
      </c>
      <c r="AG284" s="69">
        <v>14.6</v>
      </c>
      <c r="AH284" s="70">
        <v>15.86</v>
      </c>
      <c r="AI284" s="70">
        <v>16.649999999999999</v>
      </c>
      <c r="AJ284" s="70">
        <v>17.809999999999999</v>
      </c>
      <c r="AK284" s="8">
        <f>ROUND(J284/VLOOKUP($C284,CapRate,2),0)</f>
        <v>88</v>
      </c>
      <c r="AL284" s="8">
        <f>ROUND(K284/VLOOKUP($C284,CapRate,3),0)</f>
        <v>86</v>
      </c>
      <c r="AM284" s="85">
        <f>ROUND(L284/VLOOKUP($C284,CapRate,4),0)</f>
        <v>83</v>
      </c>
      <c r="AN284" s="23">
        <f>ROUND(M284/VLOOKUP($C284,CapRate,5),0)</f>
        <v>84</v>
      </c>
      <c r="AO284" s="85">
        <f t="shared" si="53"/>
        <v>87</v>
      </c>
      <c r="AP284" s="72">
        <f t="shared" si="54"/>
        <v>88</v>
      </c>
      <c r="AQ284" s="71">
        <f t="shared" si="43"/>
        <v>88</v>
      </c>
      <c r="AR284" s="71">
        <f t="shared" si="43"/>
        <v>88</v>
      </c>
      <c r="AS284" s="71">
        <f t="shared" si="47"/>
        <v>87</v>
      </c>
      <c r="AT284" s="71">
        <f t="shared" si="48"/>
        <v>86</v>
      </c>
      <c r="AU284" s="71">
        <f t="shared" si="44"/>
        <v>88</v>
      </c>
      <c r="AV284" s="72">
        <f>IF(ROUND(V284/VLOOKUP($C284,CapRate,12),0)&gt;AV283,V284/VLOOKUP($C284,CapRate,12),AV283)</f>
        <v>64</v>
      </c>
      <c r="AW284" s="72">
        <f>IF(ROUND(W284/VLOOKUP($C284,CapRate,13),0)&gt;AW283,W284/VLOOKUP($C284,CapRate,13),AW283)</f>
        <v>58</v>
      </c>
      <c r="AX284" s="72">
        <f>IF(ROUND(X284/VLOOKUP($C284,CapRate,14),0)&gt;AX283,X284/VLOOKUP($C284,CapRate,14),AX283)</f>
        <v>56.593820648078363</v>
      </c>
      <c r="AY284" s="72">
        <f>IF(ROUND(Y284/VLOOKUP($C284,CapRate,15),0)&gt;AY283,Y284/VLOOKUP($C284,CapRate,15),AY283)</f>
        <v>55.272999252056835</v>
      </c>
      <c r="AZ284" s="72">
        <f>IF(ROUND(Z284/VLOOKUP($C284,CapRate,16),0)&gt;AZ283,Z284/VLOOKUP($C284,CapRate,16),AZ283)</f>
        <v>63.256161314413752</v>
      </c>
      <c r="BA284" s="72">
        <f>IF(ROUND(AA284/VLOOKUP($C284,CapRate,17),0)&gt;BA283,AA284/VLOOKUP($C284,CapRate,17),BA283)</f>
        <v>72</v>
      </c>
      <c r="BB284" s="72">
        <f>IF(ROUND(AB284/VLOOKUP($C284,CapRate,18),0)&gt;BB283,AB284/VLOOKUP($C284,CapRate,18),BB283)</f>
        <v>79.26199261992619</v>
      </c>
      <c r="BC284" s="72">
        <f>IF(ROUND(AC284/VLOOKUP($C284,CapRate,19),0)&gt;BC283,AC284/VLOOKUP($C284,CapRate,19),BC283)</f>
        <v>84.915378955114051</v>
      </c>
      <c r="BD284" s="72">
        <f>IF(ROUND(AD284/VLOOKUP($C284,CapRate,20),0)&gt;BD283,AD284/VLOOKUP($C284,CapRate,20),BD283)</f>
        <v>94.191176470588232</v>
      </c>
      <c r="BE284" s="72">
        <f>IF(ROUND(AE284/VLOOKUP($C284,CapRate,21),0)&gt;BE283,AE284/VLOOKUP($C284,CapRate,21),BE283)</f>
        <v>103.89419544452609</v>
      </c>
      <c r="BF284" s="72">
        <f>IF(ROUND(AF284/VLOOKUP($C284,CapRate,22),0)&gt;BF283,AF284/VLOOKUP($C284,CapRate,22),BF283)</f>
        <v>111.38032305433187</v>
      </c>
      <c r="BG284" s="72">
        <f>IF(ROUND(AG284/VLOOKUP($C284,CapRate,23),0)&gt;BG283,AG284/VLOOKUP($C284,CapRate,23),BG283)</f>
        <v>118.10850439882698</v>
      </c>
      <c r="BH284" s="72">
        <f>IF(ROUND(AH284/VLOOKUP($C284,CapRate,24),0)&gt;BH283,AH284/VLOOKUP($C284,CapRate,24),BH283)</f>
        <v>124.67057101024891</v>
      </c>
      <c r="BI284" s="72">
        <f>IF(ROUND(AI284/VLOOKUP($C284,CapRate,25),0)&gt;BI283,AI284/VLOOKUP($C284,CapRate,25),BI283)</f>
        <v>127.13972201901976</v>
      </c>
      <c r="BJ284" s="72">
        <f>IF(ROUND(AJ284/VLOOKUP($C284,CapRate,26),0)&gt;BJ283,AJ284/VLOOKUP($C284,CapRate,26),BJ283)</f>
        <v>132.57852447041637</v>
      </c>
      <c r="BK284" s="87">
        <f t="shared" si="46"/>
        <v>4.2778152767889432E-2</v>
      </c>
      <c r="BL284" s="76"/>
      <c r="BM284" s="77"/>
      <c r="BN284" s="77"/>
      <c r="BO284" s="77"/>
      <c r="BP284" s="77">
        <f>BK284</f>
        <v>4.2778152767889432E-2</v>
      </c>
    </row>
    <row r="285" spans="1:69" ht="15.9" customHeight="1" thickBot="1">
      <c r="A285" s="8" t="s">
        <v>138</v>
      </c>
      <c r="B285" s="22"/>
      <c r="C285" s="90" t="s">
        <v>143</v>
      </c>
      <c r="D285" s="91"/>
      <c r="E285" s="90" t="s">
        <v>40</v>
      </c>
      <c r="F285" s="190">
        <f>[1]AcreSummary!J83</f>
        <v>0.36109136295994071</v>
      </c>
      <c r="G285" s="191"/>
      <c r="H285" s="94"/>
      <c r="I285" s="95">
        <f>[1]Dry!E83</f>
        <v>24.12</v>
      </c>
      <c r="J285" s="96">
        <f>[1]Dry!F83</f>
        <v>23.32</v>
      </c>
      <c r="K285" s="97">
        <f>[1]Dry!G83</f>
        <v>24.11</v>
      </c>
      <c r="L285" s="98">
        <f>[1]Dry!H83</f>
        <v>25.25</v>
      </c>
      <c r="M285" s="96">
        <f>[1]Dry!I83</f>
        <v>26.68</v>
      </c>
      <c r="N285" s="99">
        <f>[1]Dry!J83</f>
        <v>28.08</v>
      </c>
      <c r="O285" s="100">
        <v>28.12</v>
      </c>
      <c r="P285" s="99">
        <f>[1]Dry!K83</f>
        <v>28.5</v>
      </c>
      <c r="Q285" s="101">
        <f>[1]Dry!L83</f>
        <v>28.87</v>
      </c>
      <c r="R285" s="221">
        <f>Q285*0.95</f>
        <v>27.426500000000001</v>
      </c>
      <c r="S285" s="103">
        <f>[1]Dry!N83</f>
        <v>28.22</v>
      </c>
      <c r="T285" s="104">
        <f>[1]Dry!O83</f>
        <v>27.62</v>
      </c>
      <c r="U285" s="105">
        <f>[1]Dry!P83</f>
        <v>26.08</v>
      </c>
      <c r="V285" s="98">
        <f>[1]Dry!Q83</f>
        <v>22.44</v>
      </c>
      <c r="W285" s="98">
        <f>[1]Dry!R83</f>
        <v>26.62</v>
      </c>
      <c r="X285" s="98">
        <f>[1]Dry!S83</f>
        <v>30.9</v>
      </c>
      <c r="Y285" s="98">
        <f>[1]Dry!T83</f>
        <v>35.200000000000003</v>
      </c>
      <c r="Z285" s="98">
        <v>40.090000000000003</v>
      </c>
      <c r="AA285" s="98">
        <v>45.87</v>
      </c>
      <c r="AB285" s="98">
        <v>48.9</v>
      </c>
      <c r="AC285" s="98">
        <v>50.77</v>
      </c>
      <c r="AD285" s="98">
        <v>50.54</v>
      </c>
      <c r="AE285" s="98">
        <v>48.4</v>
      </c>
      <c r="AF285" s="98">
        <v>49.85</v>
      </c>
      <c r="AG285" s="106">
        <v>51.56</v>
      </c>
      <c r="AH285" s="107">
        <v>49.11</v>
      </c>
      <c r="AI285" s="107">
        <v>41.39</v>
      </c>
      <c r="AJ285" s="107">
        <v>38.49</v>
      </c>
      <c r="AK285" s="90">
        <f t="shared" si="49"/>
        <v>173</v>
      </c>
      <c r="AL285" s="90">
        <f t="shared" si="50"/>
        <v>178</v>
      </c>
      <c r="AM285" s="108">
        <f t="shared" si="51"/>
        <v>183</v>
      </c>
      <c r="AN285" s="91">
        <f t="shared" si="52"/>
        <v>197</v>
      </c>
      <c r="AO285" s="108">
        <f t="shared" si="53"/>
        <v>215</v>
      </c>
      <c r="AP285" s="109">
        <f t="shared" si="54"/>
        <v>222</v>
      </c>
      <c r="AQ285" s="110">
        <f t="shared" si="43"/>
        <v>225</v>
      </c>
      <c r="AR285" s="222">
        <f t="shared" si="43"/>
        <v>214</v>
      </c>
      <c r="AS285" s="110">
        <f t="shared" si="47"/>
        <v>220</v>
      </c>
      <c r="AT285" s="110">
        <f t="shared" si="48"/>
        <v>215</v>
      </c>
      <c r="AU285" s="110">
        <f t="shared" si="44"/>
        <v>203</v>
      </c>
      <c r="AV285" s="109">
        <f t="shared" si="45"/>
        <v>171</v>
      </c>
      <c r="AW285" s="109">
        <f>ROUND(W285/VLOOKUP($C285,CapRate,13),0)</f>
        <v>201</v>
      </c>
      <c r="AX285" s="72">
        <f>ROUND(X285/VLOOKUP($C285,CapRate,14),0)</f>
        <v>233</v>
      </c>
      <c r="AY285" s="72">
        <f>ROUND(Y285/VLOOKUP($C285,CapRate,15),0)</f>
        <v>263</v>
      </c>
      <c r="AZ285" s="72">
        <f>ROUND(Z285/VLOOKUP($C285,CapRate,16),0)</f>
        <v>299</v>
      </c>
      <c r="BA285" s="72">
        <f>ROUND(AA285/VLOOKUP($C285,CapRate,17),0)</f>
        <v>340</v>
      </c>
      <c r="BB285" s="72">
        <f>ROUND(AB285/VLOOKUP($C285,CapRate,18),0)</f>
        <v>361</v>
      </c>
      <c r="BC285" s="72">
        <f>ROUND(AC285/VLOOKUP($C285,CapRate,19),0)</f>
        <v>374</v>
      </c>
      <c r="BD285" s="72">
        <f>ROUND(AD285/VLOOKUP($C285,CapRate,20),0)</f>
        <v>372</v>
      </c>
      <c r="BE285" s="72">
        <f>ROUND(AE285/VLOOKUP($C285,CapRate,21),0)</f>
        <v>356</v>
      </c>
      <c r="BF285" s="72">
        <f>ROUND(AF285/VLOOKUP($C285,CapRate,22),0)</f>
        <v>366</v>
      </c>
      <c r="BG285" s="72">
        <f>ROUND(AG285/VLOOKUP($C285,CapRate,23),0)</f>
        <v>378</v>
      </c>
      <c r="BH285" s="72">
        <f>ROUND(AH285/VLOOKUP($C285,CapRate,24),0)</f>
        <v>360</v>
      </c>
      <c r="BI285" s="72">
        <f>ROUND(AI285/VLOOKUP($C285,CapRate,25),0)</f>
        <v>303</v>
      </c>
      <c r="BJ285" s="72">
        <f>ROUND(AJ285/VLOOKUP($C285,CapRate,26),0)</f>
        <v>281</v>
      </c>
      <c r="BK285" s="87">
        <f t="shared" si="46"/>
        <v>-7.2607260726072598E-2</v>
      </c>
      <c r="BL285" s="114">
        <f>((F283*BK283)+(F284*BK284)+(F285*BK285))</f>
        <v>9.5100102174184437E-4</v>
      </c>
      <c r="BM285" s="226"/>
      <c r="BN285" s="227">
        <f>BK285</f>
        <v>-7.2607260726072598E-2</v>
      </c>
      <c r="BO285" s="227"/>
      <c r="BP285" s="227"/>
    </row>
    <row r="286" spans="1:69" ht="15.9" customHeight="1" thickTop="1">
      <c r="A286" s="8" t="s">
        <v>138</v>
      </c>
      <c r="B286" s="22"/>
      <c r="C286" s="8" t="s">
        <v>144</v>
      </c>
      <c r="D286" s="23" t="s">
        <v>144</v>
      </c>
      <c r="E286" s="8" t="s">
        <v>39</v>
      </c>
      <c r="F286" s="188">
        <f>[1]AcreSummary!M84</f>
        <v>0.45147375117326849</v>
      </c>
      <c r="G286" s="25"/>
      <c r="H286" s="117"/>
      <c r="I286" s="57">
        <f>[1]Native!E82</f>
        <v>4.8600000000000003</v>
      </c>
      <c r="J286" s="58">
        <f>[1]Native!F82</f>
        <v>8.9499999999999993</v>
      </c>
      <c r="K286" s="80">
        <f>[1]Native!G82</f>
        <v>9.24</v>
      </c>
      <c r="L286" s="68">
        <f>[1]Native!H82</f>
        <v>9.43</v>
      </c>
      <c r="M286" s="58">
        <f>[1]Native!I82</f>
        <v>9.84</v>
      </c>
      <c r="N286" s="81">
        <f>[1]Native!J82</f>
        <v>10.31</v>
      </c>
      <c r="O286" s="62">
        <v>8.2899999999999991</v>
      </c>
      <c r="P286" s="81">
        <f>[1]Native!K82</f>
        <v>10.7</v>
      </c>
      <c r="Q286" s="82">
        <f>[1]Native!L82</f>
        <v>10.97</v>
      </c>
      <c r="R286" s="83">
        <v>10.97</v>
      </c>
      <c r="S286" s="84">
        <f>[1]Native!M82</f>
        <v>11.24</v>
      </c>
      <c r="T286" s="66">
        <f>[1]Native!N82</f>
        <v>11.48</v>
      </c>
      <c r="U286" s="67">
        <f>[1]Native!O82</f>
        <v>11.55</v>
      </c>
      <c r="V286" s="68">
        <f>[1]Native!P82</f>
        <v>7.09</v>
      </c>
      <c r="W286" s="68">
        <f>[1]Native!Q82</f>
        <v>6.12</v>
      </c>
      <c r="X286" s="68">
        <v>6.9</v>
      </c>
      <c r="Y286" s="68">
        <v>6.45</v>
      </c>
      <c r="Z286" s="68">
        <v>7.22</v>
      </c>
      <c r="AA286" s="68">
        <v>8.18</v>
      </c>
      <c r="AB286" s="68">
        <v>9.23</v>
      </c>
      <c r="AC286" s="68">
        <v>10.32</v>
      </c>
      <c r="AD286" s="68">
        <v>12.21</v>
      </c>
      <c r="AE286" s="68">
        <v>13.68</v>
      </c>
      <c r="AF286" s="68">
        <v>13.96</v>
      </c>
      <c r="AG286" s="69">
        <v>14.7</v>
      </c>
      <c r="AH286" s="70">
        <v>15.41</v>
      </c>
      <c r="AI286" s="70">
        <v>15.53</v>
      </c>
      <c r="AJ286" s="70">
        <v>16</v>
      </c>
      <c r="AK286" s="8">
        <f t="shared" si="49"/>
        <v>59</v>
      </c>
      <c r="AL286" s="8">
        <f t="shared" si="50"/>
        <v>62</v>
      </c>
      <c r="AM286" s="85">
        <f t="shared" si="51"/>
        <v>63</v>
      </c>
      <c r="AN286" s="23">
        <f t="shared" si="52"/>
        <v>67</v>
      </c>
      <c r="AO286" s="85">
        <f t="shared" si="53"/>
        <v>59</v>
      </c>
      <c r="AP286" s="72">
        <f t="shared" si="54"/>
        <v>77</v>
      </c>
      <c r="AQ286" s="71">
        <f t="shared" si="43"/>
        <v>79</v>
      </c>
      <c r="AR286" s="71">
        <f t="shared" si="43"/>
        <v>79</v>
      </c>
      <c r="AS286" s="71">
        <f t="shared" si="47"/>
        <v>81</v>
      </c>
      <c r="AT286" s="71">
        <f t="shared" si="48"/>
        <v>83</v>
      </c>
      <c r="AU286" s="71">
        <f t="shared" si="44"/>
        <v>84</v>
      </c>
      <c r="AV286" s="72">
        <f t="shared" si="45"/>
        <v>50</v>
      </c>
      <c r="AW286" s="72">
        <f>ROUND(W286/VLOOKUP($C286,CapRate,13),0)</f>
        <v>43</v>
      </c>
      <c r="AX286" s="122">
        <f>IF(ROUND(X286/VLOOKUP($C286,CapRate,14),0)&gt;10,X286/VLOOKUP($C286,CapRate,14),10)</f>
        <v>48.353188507358098</v>
      </c>
      <c r="AY286" s="122">
        <f>IF(ROUND(Y286/VLOOKUP($C286,CapRate,15),0)&gt;10,Y286/VLOOKUP($C286,CapRate,15),10)</f>
        <v>44.822793606671304</v>
      </c>
      <c r="AZ286" s="122">
        <f>IF(ROUND(Z286/VLOOKUP($C286,CapRate,16),0)&gt;10,Z286/VLOOKUP($C286,CapRate,16),10)</f>
        <v>50.069348127600556</v>
      </c>
      <c r="BA286" s="122">
        <f>IF(ROUND(AA286/VLOOKUP($C286,CapRate,17),0)&gt;10,AA286/VLOOKUP($C286,CapRate,17),10)</f>
        <v>56.413793103448278</v>
      </c>
      <c r="BB286" s="122">
        <f>IF(ROUND(AB286/VLOOKUP($C286,CapRate,18),0)&gt;10,AB286/VLOOKUP($C286,CapRate,18),10)</f>
        <v>63.392857142857146</v>
      </c>
      <c r="BC286" s="122">
        <f>IF(ROUND(AC286/VLOOKUP($C286,CapRate,19),0)&gt;10,AC286/VLOOKUP($C286,CapRate,19),10)</f>
        <v>70.684931506849324</v>
      </c>
      <c r="BD286" s="122">
        <f>IF(ROUND(AD286/VLOOKUP($C286,CapRate,20),0)&gt;10,AD286/VLOOKUP($C286,CapRate,20),10)</f>
        <v>83.344709897610926</v>
      </c>
      <c r="BE286" s="122">
        <f>IF(ROUND(AE286/VLOOKUP($C286,CapRate,21),0)&gt;10,AE286/VLOOKUP($C286,CapRate,21),10)</f>
        <v>93.25153374233129</v>
      </c>
      <c r="BF286" s="122">
        <f>IF(ROUND(AF286/VLOOKUP($C286,CapRate,22),0)&gt;10,AF286/VLOOKUP($C286,CapRate,22),10)</f>
        <v>95.030633083730436</v>
      </c>
      <c r="BG286" s="122">
        <f>IF(ROUND(AG286/VLOOKUP($C286,CapRate,23),0)&gt;10,AG286/VLOOKUP($C286,CapRate,23),10)</f>
        <v>99.864130434782609</v>
      </c>
      <c r="BH286" s="122">
        <f>IF(ROUND(AH286/VLOOKUP($C286,CapRate,24),0)&gt;10,AH286/VLOOKUP($C286,CapRate,24),10)</f>
        <v>104.54545454545455</v>
      </c>
      <c r="BI286" s="122">
        <f>IF(ROUND(AI286/VLOOKUP($C286,CapRate,25),0)&gt;10,AI286/VLOOKUP($C286,CapRate,25),10)</f>
        <v>105.359565807327</v>
      </c>
      <c r="BJ286" s="122">
        <f>IF(ROUND(AJ286/VLOOKUP($C286,CapRate,26),0)&gt;10,AJ286/VLOOKUP($C286,CapRate,26),10)</f>
        <v>108.69565217391305</v>
      </c>
      <c r="BK286" s="75">
        <f t="shared" si="46"/>
        <v>3.1663820375710472E-2</v>
      </c>
      <c r="BL286" s="76"/>
      <c r="BM286" s="219">
        <f>BK286</f>
        <v>3.1663820375710472E-2</v>
      </c>
      <c r="BN286" s="220"/>
      <c r="BO286" s="220"/>
      <c r="BP286" s="220"/>
    </row>
    <row r="287" spans="1:69" ht="15.9" customHeight="1">
      <c r="A287" s="8"/>
      <c r="B287" s="22"/>
      <c r="C287" s="8" t="s">
        <v>144</v>
      </c>
      <c r="D287" s="23"/>
      <c r="E287" s="8" t="s">
        <v>85</v>
      </c>
      <c r="F287" s="188">
        <f>[1]AcreSummary!L84</f>
        <v>0.1547936795482916</v>
      </c>
      <c r="G287" s="25"/>
      <c r="H287" s="117"/>
      <c r="I287" s="57"/>
      <c r="J287" s="58">
        <f>[1]Tame!D51</f>
        <v>12.88</v>
      </c>
      <c r="K287" s="80">
        <f>[1]Tame!E51</f>
        <v>12.52</v>
      </c>
      <c r="L287" s="68">
        <f>[1]Tame!F51</f>
        <v>12.18</v>
      </c>
      <c r="M287" s="58">
        <f>[1]Tame!G51</f>
        <v>12.03</v>
      </c>
      <c r="N287" s="81">
        <f>[1]Tame!H51</f>
        <v>11.92</v>
      </c>
      <c r="O287" s="62">
        <v>12.54</v>
      </c>
      <c r="P287" s="81">
        <f>[1]Tame!I51</f>
        <v>11.7</v>
      </c>
      <c r="Q287" s="82">
        <f>[1]Tame!J51</f>
        <v>11.71</v>
      </c>
      <c r="R287" s="83">
        <v>11.71</v>
      </c>
      <c r="S287" s="84">
        <f>[1]Tame!K51</f>
        <v>11.51</v>
      </c>
      <c r="T287" s="66">
        <f>[1]Tame!L51</f>
        <v>11.12</v>
      </c>
      <c r="U287" s="67">
        <f>[1]Tame!M51</f>
        <v>11.42</v>
      </c>
      <c r="V287" s="68">
        <f>[1]Tame!N51</f>
        <v>3.47</v>
      </c>
      <c r="W287" s="68">
        <f>[1]Tame!O51</f>
        <v>2.2799999999999998</v>
      </c>
      <c r="X287" s="68">
        <v>1.89</v>
      </c>
      <c r="Y287" s="68">
        <v>1.48</v>
      </c>
      <c r="Z287" s="68">
        <v>3.05</v>
      </c>
      <c r="AA287" s="68">
        <v>4.9800000000000004</v>
      </c>
      <c r="AB287" s="68">
        <v>7</v>
      </c>
      <c r="AC287" s="68">
        <v>0</v>
      </c>
      <c r="AD287" s="68">
        <v>10.36</v>
      </c>
      <c r="AE287" s="68">
        <v>12.09</v>
      </c>
      <c r="AF287" s="68">
        <v>13.2</v>
      </c>
      <c r="AG287" s="69">
        <v>14.18</v>
      </c>
      <c r="AH287" s="70">
        <v>15.12</v>
      </c>
      <c r="AI287" s="70">
        <v>15.58</v>
      </c>
      <c r="AJ287" s="70">
        <v>16.38</v>
      </c>
      <c r="AK287" s="8">
        <f>ROUND(J287/VLOOKUP($C287,CapRate,2),0)</f>
        <v>85</v>
      </c>
      <c r="AL287" s="8">
        <f>ROUND(K287/VLOOKUP($C287,CapRate,3),0)</f>
        <v>84</v>
      </c>
      <c r="AM287" s="85">
        <f>ROUND(L287/VLOOKUP($C287,CapRate,4),0)</f>
        <v>81</v>
      </c>
      <c r="AN287" s="23">
        <f>ROUND(M287/VLOOKUP($C287,CapRate,5),0)</f>
        <v>82</v>
      </c>
      <c r="AO287" s="85">
        <f t="shared" si="53"/>
        <v>89</v>
      </c>
      <c r="AP287" s="72">
        <f t="shared" si="54"/>
        <v>84</v>
      </c>
      <c r="AQ287" s="71">
        <f t="shared" si="43"/>
        <v>84</v>
      </c>
      <c r="AR287" s="71">
        <f t="shared" si="43"/>
        <v>84</v>
      </c>
      <c r="AS287" s="71">
        <f t="shared" si="47"/>
        <v>83</v>
      </c>
      <c r="AT287" s="71">
        <f t="shared" si="48"/>
        <v>80</v>
      </c>
      <c r="AU287" s="71">
        <f t="shared" si="44"/>
        <v>83</v>
      </c>
      <c r="AV287" s="72">
        <f>IF(ROUND(V287/VLOOKUP($C287,CapRate,12),0)&gt;AV286,V287/VLOOKUP($C287,CapRate,12),AV286)</f>
        <v>50</v>
      </c>
      <c r="AW287" s="72">
        <f>IF(ROUND(W287/VLOOKUP($C287,CapRate,13),0)&gt;AW286,W287/VLOOKUP($C287,CapRate,13),AW286)</f>
        <v>43</v>
      </c>
      <c r="AX287" s="72">
        <f>IF(ROUND(X287/VLOOKUP($C287,CapRate,14),0)&gt;AX286,X287/VLOOKUP($C287,CapRate,14),AX286)</f>
        <v>48.353188507358098</v>
      </c>
      <c r="AY287" s="72">
        <f>IF(ROUND(Y287/VLOOKUP($C287,CapRate,15),0)&gt;AY286,Y287/VLOOKUP($C287,CapRate,15),AY286)</f>
        <v>44.822793606671304</v>
      </c>
      <c r="AZ287" s="72">
        <f>IF(ROUND(Z287/VLOOKUP($C287,CapRate,16),0)&gt;AZ286,Z287/VLOOKUP($C287,CapRate,16),AZ286)</f>
        <v>50.069348127600556</v>
      </c>
      <c r="BA287" s="72">
        <f>IF(ROUND(AA287/VLOOKUP($C287,CapRate,17),0)&gt;BA286,AA287/VLOOKUP($C287,CapRate,17),BA286)</f>
        <v>56.413793103448278</v>
      </c>
      <c r="BB287" s="72">
        <f>IF(ROUND(AB287/VLOOKUP($C287,CapRate,18),0)&gt;BB286,AB287/VLOOKUP($C287,CapRate,18),BB286)</f>
        <v>63.392857142857146</v>
      </c>
      <c r="BC287" s="72">
        <f>IF(ROUND(AC287/VLOOKUP($C287,CapRate,19),0)&gt;BC286,AC287/VLOOKUP($C287,CapRate,19),BC286)</f>
        <v>70.684931506849324</v>
      </c>
      <c r="BD287" s="72">
        <f>IF(ROUND(AD287/VLOOKUP($C287,CapRate,20),0)&gt;BD286,AD287/VLOOKUP($C287,CapRate,20),BD286)</f>
        <v>83.344709897610926</v>
      </c>
      <c r="BE287" s="72">
        <f>IF(ROUND(AE287/VLOOKUP($C287,CapRate,21),0)&gt;BE286,AE287/VLOOKUP($C287,CapRate,21),BE286)</f>
        <v>93.25153374233129</v>
      </c>
      <c r="BF287" s="72">
        <f>IF(ROUND(AF287/VLOOKUP($C287,CapRate,22),0)&gt;BF286,AF287/VLOOKUP($C287,CapRate,22),BF286)</f>
        <v>95.030633083730436</v>
      </c>
      <c r="BG287" s="72">
        <f>IF(ROUND(AG287/VLOOKUP($C287,CapRate,23),0)&gt;BG286,AG287/VLOOKUP($C287,CapRate,23),BG286)</f>
        <v>99.864130434782609</v>
      </c>
      <c r="BH287" s="72">
        <f>IF(ROUND(AH287/VLOOKUP($C287,CapRate,24),0)&gt;BH286,AH287/VLOOKUP($C287,CapRate,24),BH286)</f>
        <v>104.54545454545455</v>
      </c>
      <c r="BI287" s="72">
        <f>IF(ROUND(AI287/VLOOKUP($C287,CapRate,25),0)&gt;BI286,AI287/VLOOKUP($C287,CapRate,25),BI286)</f>
        <v>105.69877883310718</v>
      </c>
      <c r="BJ287" s="72">
        <f>IF(ROUND(AJ287/VLOOKUP($C287,CapRate,26),0)&gt;BJ286,AJ287/VLOOKUP($C287,CapRate,26),BJ286)</f>
        <v>111.27717391304347</v>
      </c>
      <c r="BK287" s="87">
        <f t="shared" si="46"/>
        <v>5.2776343695931205E-2</v>
      </c>
      <c r="BL287" s="76"/>
      <c r="BM287" s="77"/>
      <c r="BN287" s="77"/>
      <c r="BO287" s="77"/>
      <c r="BP287" s="77">
        <f>BK287</f>
        <v>5.2776343695931205E-2</v>
      </c>
    </row>
    <row r="288" spans="1:69" ht="15.9" customHeight="1" thickBot="1">
      <c r="A288" s="8" t="s">
        <v>138</v>
      </c>
      <c r="B288" s="22"/>
      <c r="C288" s="90" t="s">
        <v>144</v>
      </c>
      <c r="D288" s="91"/>
      <c r="E288" s="90" t="s">
        <v>40</v>
      </c>
      <c r="F288" s="190">
        <f>[1]AcreSummary!J84</f>
        <v>0.37972619993162959</v>
      </c>
      <c r="G288" s="191"/>
      <c r="H288" s="94"/>
      <c r="I288" s="95">
        <f>[1]Dry!E84</f>
        <v>33.4</v>
      </c>
      <c r="J288" s="96">
        <f>[1]Dry!F84</f>
        <v>28.93</v>
      </c>
      <c r="K288" s="97">
        <f>[1]Dry!G84</f>
        <v>30.35</v>
      </c>
      <c r="L288" s="98">
        <f>[1]Dry!H84</f>
        <v>32.159999999999997</v>
      </c>
      <c r="M288" s="96">
        <f>[1]Dry!I84</f>
        <v>34.31</v>
      </c>
      <c r="N288" s="99">
        <f>[1]Dry!J84</f>
        <v>36.56</v>
      </c>
      <c r="O288" s="100">
        <v>28.86</v>
      </c>
      <c r="P288" s="99">
        <f>[1]Dry!K84</f>
        <v>37.29</v>
      </c>
      <c r="Q288" s="101">
        <f>[1]Dry!L84</f>
        <v>38.270000000000003</v>
      </c>
      <c r="R288" s="221">
        <f>Q288*0.95</f>
        <v>36.356500000000004</v>
      </c>
      <c r="S288" s="103">
        <f>[1]Dry!N84</f>
        <v>38.14</v>
      </c>
      <c r="T288" s="104">
        <f>[1]Dry!O84</f>
        <v>37.99</v>
      </c>
      <c r="U288" s="105">
        <f>[1]Dry!P84</f>
        <v>36.590000000000003</v>
      </c>
      <c r="V288" s="98">
        <f>[1]Dry!Q84</f>
        <v>32.049999999999997</v>
      </c>
      <c r="W288" s="98">
        <f>[1]Dry!R84</f>
        <v>36.340000000000003</v>
      </c>
      <c r="X288" s="98">
        <f>[1]Dry!S84</f>
        <v>41.85</v>
      </c>
      <c r="Y288" s="98">
        <f>[1]Dry!T84</f>
        <v>46.97</v>
      </c>
      <c r="Z288" s="98">
        <v>53.29</v>
      </c>
      <c r="AA288" s="98">
        <v>61.11</v>
      </c>
      <c r="AB288" s="98">
        <v>66.41</v>
      </c>
      <c r="AC288" s="98">
        <v>70.27</v>
      </c>
      <c r="AD288" s="98">
        <v>71.650000000000006</v>
      </c>
      <c r="AE288" s="98">
        <v>71.77</v>
      </c>
      <c r="AF288" s="98">
        <v>73.709999999999994</v>
      </c>
      <c r="AG288" s="106">
        <v>76.430000000000007</v>
      </c>
      <c r="AH288" s="107">
        <v>74.7</v>
      </c>
      <c r="AI288" s="107">
        <v>67.430000000000007</v>
      </c>
      <c r="AJ288" s="107">
        <v>64.790000000000006</v>
      </c>
      <c r="AK288" s="90">
        <f t="shared" si="49"/>
        <v>192</v>
      </c>
      <c r="AL288" s="90">
        <f t="shared" si="50"/>
        <v>203</v>
      </c>
      <c r="AM288" s="108">
        <f t="shared" si="51"/>
        <v>213</v>
      </c>
      <c r="AN288" s="91">
        <f t="shared" si="52"/>
        <v>233</v>
      </c>
      <c r="AO288" s="108">
        <f t="shared" si="53"/>
        <v>205</v>
      </c>
      <c r="AP288" s="109">
        <f t="shared" si="54"/>
        <v>269</v>
      </c>
      <c r="AQ288" s="110">
        <f t="shared" si="43"/>
        <v>275</v>
      </c>
      <c r="AR288" s="222">
        <f t="shared" si="43"/>
        <v>261</v>
      </c>
      <c r="AS288" s="110">
        <f t="shared" si="47"/>
        <v>275</v>
      </c>
      <c r="AT288" s="110">
        <f t="shared" si="48"/>
        <v>274</v>
      </c>
      <c r="AU288" s="110">
        <f t="shared" si="44"/>
        <v>265</v>
      </c>
      <c r="AV288" s="109">
        <f t="shared" si="45"/>
        <v>227</v>
      </c>
      <c r="AW288" s="109">
        <f>ROUND(W288/VLOOKUP($C288,CapRate,13),0)</f>
        <v>255</v>
      </c>
      <c r="AX288" s="72">
        <f>ROUND(X288/VLOOKUP($C288,CapRate,14),0)</f>
        <v>293</v>
      </c>
      <c r="AY288" s="72">
        <f>ROUND(Y288/VLOOKUP($C288,CapRate,15),0)</f>
        <v>326</v>
      </c>
      <c r="AZ288" s="72">
        <f>ROUND(Z288/VLOOKUP($C288,CapRate,16),0)</f>
        <v>370</v>
      </c>
      <c r="BA288" s="72">
        <f>ROUND(AA288/VLOOKUP($C288,CapRate,17),0)</f>
        <v>421</v>
      </c>
      <c r="BB288" s="72">
        <f>ROUND(AB288/VLOOKUP($C288,CapRate,18),0)</f>
        <v>456</v>
      </c>
      <c r="BC288" s="72">
        <f>ROUND(AC288/VLOOKUP($C288,CapRate,19),0)</f>
        <v>481</v>
      </c>
      <c r="BD288" s="72">
        <f>ROUND(AD288/VLOOKUP($C288,CapRate,20),0)</f>
        <v>489</v>
      </c>
      <c r="BE288" s="72">
        <f>ROUND(AE288/VLOOKUP($C288,CapRate,21),0)</f>
        <v>489</v>
      </c>
      <c r="BF288" s="72">
        <f>ROUND(AF288/VLOOKUP($C288,CapRate,22),0)</f>
        <v>502</v>
      </c>
      <c r="BG288" s="72">
        <f>ROUND(AG288/VLOOKUP($C288,CapRate,23),0)</f>
        <v>519</v>
      </c>
      <c r="BH288" s="72">
        <f>ROUND(AH288/VLOOKUP($C288,CapRate,24),0)</f>
        <v>507</v>
      </c>
      <c r="BI288" s="72">
        <f>ROUND(AI288/VLOOKUP($C288,CapRate,25),0)</f>
        <v>457</v>
      </c>
      <c r="BJ288" s="72">
        <f>ROUND(AJ288/VLOOKUP($C288,CapRate,26),0)</f>
        <v>440</v>
      </c>
      <c r="BK288" s="87">
        <f t="shared" si="46"/>
        <v>-3.7199124726477018E-2</v>
      </c>
      <c r="BL288" s="114">
        <f>((F286*BK286)+(F287*BK287)+(F288*BK288))</f>
        <v>8.3393459221292147E-3</v>
      </c>
      <c r="BM288" s="226"/>
      <c r="BN288" s="227">
        <f>BK288</f>
        <v>-3.7199124726477018E-2</v>
      </c>
      <c r="BO288" s="227"/>
      <c r="BP288" s="227"/>
    </row>
    <row r="289" spans="1:68" ht="15.9" customHeight="1" thickTop="1">
      <c r="A289" s="8" t="s">
        <v>138</v>
      </c>
      <c r="B289" s="22"/>
      <c r="C289" s="8" t="s">
        <v>145</v>
      </c>
      <c r="D289" s="23" t="s">
        <v>145</v>
      </c>
      <c r="E289" s="8" t="s">
        <v>39</v>
      </c>
      <c r="F289" s="188">
        <f>[1]AcreSummary!M85</f>
        <v>0.51294584996616643</v>
      </c>
      <c r="G289" s="25"/>
      <c r="H289" s="117"/>
      <c r="I289" s="57">
        <f>[1]Native!E83</f>
        <v>9.17</v>
      </c>
      <c r="J289" s="58">
        <f>[1]Native!F83</f>
        <v>8.8000000000000007</v>
      </c>
      <c r="K289" s="80">
        <f>[1]Native!G83</f>
        <v>9.1300000000000008</v>
      </c>
      <c r="L289" s="68">
        <f>[1]Native!H83</f>
        <v>9.3800000000000008</v>
      </c>
      <c r="M289" s="58">
        <f>[1]Native!I83</f>
        <v>9.86</v>
      </c>
      <c r="N289" s="81">
        <f>[1]Native!J83</f>
        <v>10.4</v>
      </c>
      <c r="O289" s="62">
        <v>10.09</v>
      </c>
      <c r="P289" s="81">
        <f>[1]Native!K83</f>
        <v>10.86</v>
      </c>
      <c r="Q289" s="82">
        <f>[1]Native!L83</f>
        <v>11.2</v>
      </c>
      <c r="R289" s="83">
        <v>11.2</v>
      </c>
      <c r="S289" s="84">
        <f>[1]Native!M83</f>
        <v>11.55</v>
      </c>
      <c r="T289" s="66">
        <f>[1]Native!N83</f>
        <v>11.86</v>
      </c>
      <c r="U289" s="67">
        <f>[1]Native!O83</f>
        <v>11.97</v>
      </c>
      <c r="V289" s="68">
        <f>[1]Native!P83</f>
        <v>8.19</v>
      </c>
      <c r="W289" s="68">
        <f>[1]Native!Q83</f>
        <v>7.3</v>
      </c>
      <c r="X289" s="68">
        <v>8.39</v>
      </c>
      <c r="Y289" s="68">
        <v>8.0299999999999994</v>
      </c>
      <c r="Z289" s="68">
        <v>9.2799999999999994</v>
      </c>
      <c r="AA289" s="68">
        <v>10.71</v>
      </c>
      <c r="AB289" s="68">
        <v>12.15</v>
      </c>
      <c r="AC289" s="68">
        <v>13.29</v>
      </c>
      <c r="AD289" s="68">
        <v>14.76</v>
      </c>
      <c r="AE289" s="68">
        <v>16.239999999999998</v>
      </c>
      <c r="AF289" s="68">
        <v>16.989999999999998</v>
      </c>
      <c r="AG289" s="69">
        <v>17.75</v>
      </c>
      <c r="AH289" s="70">
        <v>18.13</v>
      </c>
      <c r="AI289" s="70">
        <v>17.989999999999998</v>
      </c>
      <c r="AJ289" s="70">
        <v>18.100000000000001</v>
      </c>
      <c r="AK289" s="8">
        <f t="shared" si="49"/>
        <v>59</v>
      </c>
      <c r="AL289" s="8">
        <f t="shared" si="50"/>
        <v>62</v>
      </c>
      <c r="AM289" s="85">
        <f t="shared" si="51"/>
        <v>63</v>
      </c>
      <c r="AN289" s="23">
        <f t="shared" si="52"/>
        <v>67</v>
      </c>
      <c r="AO289" s="85">
        <f t="shared" si="53"/>
        <v>72</v>
      </c>
      <c r="AP289" s="72">
        <f t="shared" si="54"/>
        <v>78</v>
      </c>
      <c r="AQ289" s="71">
        <f t="shared" si="43"/>
        <v>80</v>
      </c>
      <c r="AR289" s="71">
        <f t="shared" si="43"/>
        <v>80</v>
      </c>
      <c r="AS289" s="71">
        <f t="shared" si="47"/>
        <v>83</v>
      </c>
      <c r="AT289" s="71">
        <f t="shared" si="48"/>
        <v>85</v>
      </c>
      <c r="AU289" s="71">
        <f t="shared" si="44"/>
        <v>85</v>
      </c>
      <c r="AV289" s="72">
        <f t="shared" si="45"/>
        <v>57</v>
      </c>
      <c r="AW289" s="72">
        <f>ROUND(W289/VLOOKUP($C289,CapRate,13),0)</f>
        <v>51</v>
      </c>
      <c r="AX289" s="122">
        <f>IF(ROUND(X289/VLOOKUP($C289,CapRate,14),0)&gt;10,X289/VLOOKUP($C289,CapRate,14),10)</f>
        <v>58.10249307479225</v>
      </c>
      <c r="AY289" s="122">
        <f>IF(ROUND(Y289/VLOOKUP($C289,CapRate,15),0)&gt;10,Y289/VLOOKUP($C289,CapRate,15),10)</f>
        <v>55.341144038594067</v>
      </c>
      <c r="AZ289" s="122">
        <f>IF(ROUND(Z289/VLOOKUP($C289,CapRate,16),0)&gt;10,Z289/VLOOKUP($C289,CapRate,16),10)</f>
        <v>63.823933975240713</v>
      </c>
      <c r="BA289" s="122">
        <f>IF(ROUND(AA289/VLOOKUP($C289,CapRate,17),0)&gt;10,AA289/VLOOKUP($C289,CapRate,17),10)</f>
        <v>73.255813953488385</v>
      </c>
      <c r="BB289" s="122">
        <f>IF(ROUND(AB289/VLOOKUP($C289,CapRate,18),0)&gt;10,AB289/VLOOKUP($C289,CapRate,18),10)</f>
        <v>82.765667574931868</v>
      </c>
      <c r="BC289" s="122">
        <f>IF(ROUND(AC289/VLOOKUP($C289,CapRate,19),0)&gt;10,AC289/VLOOKUP($C289,CapRate,19),10)</f>
        <v>90.224032586558053</v>
      </c>
      <c r="BD289" s="122">
        <f>IF(ROUND(AD289/VLOOKUP($C289,CapRate,20),0)&gt;10,AD289/VLOOKUP($C289,CapRate,20),10)</f>
        <v>99.932295192958705</v>
      </c>
      <c r="BE289" s="122">
        <f>IF(ROUND(AE289/VLOOKUP($C289,CapRate,21),0)&gt;10,AE289/VLOOKUP($C289,CapRate,21),10)</f>
        <v>109.58164642375168</v>
      </c>
      <c r="BF289" s="122">
        <f>IF(ROUND(AF289/VLOOKUP($C289,CapRate,22),0)&gt;10,AF289/VLOOKUP($C289,CapRate,22),10)</f>
        <v>114.48787061994608</v>
      </c>
      <c r="BG289" s="122">
        <f>IF(ROUND(AG289/VLOOKUP($C289,CapRate,23),0)&gt;10,AG289/VLOOKUP($C289,CapRate,23),10)</f>
        <v>119.44818304172274</v>
      </c>
      <c r="BH289" s="122">
        <f>IF(ROUND(AH289/VLOOKUP($C289,CapRate,24),0)&gt;10,AH289/VLOOKUP($C289,CapRate,24),10)</f>
        <v>121.92333557498318</v>
      </c>
      <c r="BI289" s="122">
        <f>IF(ROUND(AI289/VLOOKUP($C289,CapRate,25),0)&gt;10,AI289/VLOOKUP($C289,CapRate,25),10)</f>
        <v>121.06325706594883</v>
      </c>
      <c r="BJ289" s="122">
        <f>IF(ROUND(AJ289/VLOOKUP($C289,CapRate,26),0)&gt;10,AJ289/VLOOKUP($C289,CapRate,26),10)</f>
        <v>122.21471978392978</v>
      </c>
      <c r="BK289" s="75">
        <f t="shared" si="46"/>
        <v>9.511248465367883E-3</v>
      </c>
      <c r="BL289" s="76"/>
      <c r="BM289" s="219">
        <f>BK289</f>
        <v>9.511248465367883E-3</v>
      </c>
      <c r="BN289" s="220"/>
      <c r="BO289" s="220"/>
      <c r="BP289" s="220"/>
    </row>
    <row r="290" spans="1:68" ht="15.9" customHeight="1">
      <c r="A290" s="8"/>
      <c r="B290" s="22"/>
      <c r="C290" s="8" t="s">
        <v>145</v>
      </c>
      <c r="D290" s="23"/>
      <c r="E290" s="8" t="s">
        <v>85</v>
      </c>
      <c r="F290" s="188">
        <f>[1]AcreSummary!L85</f>
        <v>9.704275871820231E-2</v>
      </c>
      <c r="G290" s="25"/>
      <c r="H290" s="117"/>
      <c r="I290" s="57"/>
      <c r="J290" s="58">
        <f>[1]Tame!D52</f>
        <v>13.68</v>
      </c>
      <c r="K290" s="80">
        <f>[1]Tame!E52</f>
        <v>13.36</v>
      </c>
      <c r="L290" s="68">
        <f>[1]Tame!F52</f>
        <v>13.06</v>
      </c>
      <c r="M290" s="58">
        <f>[1]Tame!G52</f>
        <v>12.97</v>
      </c>
      <c r="N290" s="81">
        <f>[1]Tame!H52</f>
        <v>12.95</v>
      </c>
      <c r="O290" s="62">
        <v>13.11</v>
      </c>
      <c r="P290" s="81">
        <f>[1]Tame!I52</f>
        <v>12.81</v>
      </c>
      <c r="Q290" s="82">
        <f>[1]Tame!J52</f>
        <v>12.86</v>
      </c>
      <c r="R290" s="83">
        <v>12.86</v>
      </c>
      <c r="S290" s="84">
        <f>[1]Tame!K52</f>
        <v>12.73</v>
      </c>
      <c r="T290" s="66">
        <f>[1]Tame!L52</f>
        <v>12.46</v>
      </c>
      <c r="U290" s="67">
        <f>[1]Tame!M52</f>
        <v>12.81</v>
      </c>
      <c r="V290" s="68">
        <f>[1]Tame!N52</f>
        <v>4.63</v>
      </c>
      <c r="W290" s="68">
        <f>[1]Tame!O52</f>
        <v>3.54</v>
      </c>
      <c r="X290" s="68">
        <v>3.24</v>
      </c>
      <c r="Y290" s="68">
        <v>2.93</v>
      </c>
      <c r="Z290" s="68">
        <v>4.26</v>
      </c>
      <c r="AA290" s="68">
        <v>5.83</v>
      </c>
      <c r="AB290" s="68">
        <v>7.39</v>
      </c>
      <c r="AC290" s="68">
        <v>0</v>
      </c>
      <c r="AD290" s="68">
        <v>10.94</v>
      </c>
      <c r="AE290" s="68">
        <v>12.74</v>
      </c>
      <c r="AF290" s="68">
        <v>13.74</v>
      </c>
      <c r="AG290" s="69">
        <v>14.77</v>
      </c>
      <c r="AH290" s="70">
        <v>16.260000000000002</v>
      </c>
      <c r="AI290" s="70">
        <v>17.3</v>
      </c>
      <c r="AJ290" s="70">
        <v>18.7</v>
      </c>
      <c r="AK290" s="8">
        <f>ROUND(J290/VLOOKUP($C290,CapRate,2),0)</f>
        <v>92</v>
      </c>
      <c r="AL290" s="8">
        <f>ROUND(K290/VLOOKUP($C290,CapRate,3),0)</f>
        <v>90</v>
      </c>
      <c r="AM290" s="85">
        <f>ROUND(L290/VLOOKUP($C290,CapRate,4),0)</f>
        <v>87</v>
      </c>
      <c r="AN290" s="23">
        <f>ROUND(M290/VLOOKUP($C290,CapRate,5),0)</f>
        <v>89</v>
      </c>
      <c r="AO290" s="85">
        <f t="shared" si="53"/>
        <v>94</v>
      </c>
      <c r="AP290" s="72">
        <f t="shared" si="54"/>
        <v>92</v>
      </c>
      <c r="AQ290" s="71">
        <f t="shared" si="43"/>
        <v>92</v>
      </c>
      <c r="AR290" s="71">
        <f t="shared" si="43"/>
        <v>92</v>
      </c>
      <c r="AS290" s="71">
        <f t="shared" si="47"/>
        <v>91</v>
      </c>
      <c r="AT290" s="71">
        <f t="shared" si="48"/>
        <v>89</v>
      </c>
      <c r="AU290" s="71">
        <f t="shared" si="44"/>
        <v>91</v>
      </c>
      <c r="AV290" s="72">
        <f>IF(ROUND(V290/VLOOKUP($C290,CapRate,12),0)&gt;AV289,V290/VLOOKUP($C290,CapRate,12),AV289)</f>
        <v>57</v>
      </c>
      <c r="AW290" s="72">
        <f>IF(ROUND(W290/VLOOKUP($C290,CapRate,13),0)&gt;AW289,W290/VLOOKUP($C290,CapRate,13),AW289)</f>
        <v>51</v>
      </c>
      <c r="AX290" s="72">
        <f>IF(ROUND(X290/VLOOKUP($C290,CapRate,14),0)&gt;AX289,X290/VLOOKUP($C290,CapRate,14),AX289)</f>
        <v>58.10249307479225</v>
      </c>
      <c r="AY290" s="72">
        <f>IF(ROUND(Y290/VLOOKUP($C290,CapRate,15),0)&gt;AY289,Y290/VLOOKUP($C290,CapRate,15),AY289)</f>
        <v>55.341144038594067</v>
      </c>
      <c r="AZ290" s="72">
        <f>IF(ROUND(Z290/VLOOKUP($C290,CapRate,16),0)&gt;AZ289,Z290/VLOOKUP($C290,CapRate,16),AZ289)</f>
        <v>63.823933975240713</v>
      </c>
      <c r="BA290" s="72">
        <f>IF(ROUND(AA290/VLOOKUP($C290,CapRate,17),0)&gt;BA289,AA290/VLOOKUP($C290,CapRate,17),BA289)</f>
        <v>73.255813953488385</v>
      </c>
      <c r="BB290" s="72">
        <f>IF(ROUND(AB290/VLOOKUP($C290,CapRate,18),0)&gt;BB289,AB290/VLOOKUP($C290,CapRate,18),BB289)</f>
        <v>82.765667574931868</v>
      </c>
      <c r="BC290" s="72">
        <f>IF(ROUND(AC290/VLOOKUP($C290,CapRate,19),0)&gt;BC289,AC290/VLOOKUP($C290,CapRate,19),BC289)</f>
        <v>90.224032586558053</v>
      </c>
      <c r="BD290" s="72">
        <f>IF(ROUND(AD290/VLOOKUP($C290,CapRate,20),0)&gt;BD289,AD290/VLOOKUP($C290,CapRate,20),BD289)</f>
        <v>99.932295192958705</v>
      </c>
      <c r="BE290" s="72">
        <f>IF(ROUND(AE290/VLOOKUP($C290,CapRate,21),0)&gt;BE289,AE290/VLOOKUP($C290,CapRate,21),BE289)</f>
        <v>109.58164642375168</v>
      </c>
      <c r="BF290" s="72">
        <f>IF(ROUND(AF290/VLOOKUP($C290,CapRate,22),0)&gt;BF289,AF290/VLOOKUP($C290,CapRate,22),BF289)</f>
        <v>114.48787061994608</v>
      </c>
      <c r="BG290" s="72">
        <f>IF(ROUND(AG290/VLOOKUP($C290,CapRate,23),0)&gt;BG289,AG290/VLOOKUP($C290,CapRate,23),BG289)</f>
        <v>119.44818304172274</v>
      </c>
      <c r="BH290" s="72">
        <f>IF(ROUND(AH290/VLOOKUP($C290,CapRate,24),0)&gt;BH289,AH290/VLOOKUP($C290,CapRate,24),BH289)</f>
        <v>121.92333557498318</v>
      </c>
      <c r="BI290" s="72">
        <f>IF(ROUND(AI290/VLOOKUP($C290,CapRate,25),0)&gt;BI289,AI290/VLOOKUP($C290,CapRate,25),BI289)</f>
        <v>121.06325706594883</v>
      </c>
      <c r="BJ290" s="72">
        <f>IF(ROUND(AJ290/VLOOKUP($C290,CapRate,26),0)&gt;BJ289,AJ290/VLOOKUP($C290,CapRate,26),BJ289)</f>
        <v>126.26603646185009</v>
      </c>
      <c r="BK290" s="87">
        <f t="shared" si="46"/>
        <v>4.2975709740462831E-2</v>
      </c>
      <c r="BL290" s="76"/>
      <c r="BM290" s="77"/>
      <c r="BN290" s="77"/>
      <c r="BO290" s="77"/>
      <c r="BP290" s="77">
        <f>BK290</f>
        <v>4.2975709740462831E-2</v>
      </c>
    </row>
    <row r="291" spans="1:68" ht="15.9" customHeight="1" thickBot="1">
      <c r="A291" s="8" t="s">
        <v>138</v>
      </c>
      <c r="B291" s="22"/>
      <c r="C291" s="90" t="s">
        <v>145</v>
      </c>
      <c r="D291" s="91"/>
      <c r="E291" s="90" t="s">
        <v>40</v>
      </c>
      <c r="F291" s="190">
        <f>[1]AcreSummary!J85</f>
        <v>0.38293726797607236</v>
      </c>
      <c r="G291" s="191"/>
      <c r="H291" s="94"/>
      <c r="I291" s="95">
        <f>[1]Dry!E85</f>
        <v>29.98</v>
      </c>
      <c r="J291" s="96">
        <f>[1]Dry!F85</f>
        <v>29.93</v>
      </c>
      <c r="K291" s="97">
        <f>[1]Dry!G85</f>
        <v>31.07</v>
      </c>
      <c r="L291" s="98">
        <f>[1]Dry!H85</f>
        <v>32.5</v>
      </c>
      <c r="M291" s="96">
        <f>[1]Dry!I85</f>
        <v>34.26</v>
      </c>
      <c r="N291" s="99">
        <f>[1]Dry!J85</f>
        <v>36.08</v>
      </c>
      <c r="O291" s="100">
        <v>34.1</v>
      </c>
      <c r="P291" s="99">
        <f>[1]Dry!K85</f>
        <v>36.200000000000003</v>
      </c>
      <c r="Q291" s="101">
        <f>[1]Dry!L85</f>
        <v>36.119999999999997</v>
      </c>
      <c r="R291" s="221">
        <f>Q291*0.95</f>
        <v>34.313999999999993</v>
      </c>
      <c r="S291" s="103">
        <f>[1]Dry!N85</f>
        <v>35.119999999999997</v>
      </c>
      <c r="T291" s="104">
        <f>[1]Dry!O85</f>
        <v>34</v>
      </c>
      <c r="U291" s="105">
        <f>[1]Dry!P85</f>
        <v>32</v>
      </c>
      <c r="V291" s="98">
        <f>[1]Dry!Q85</f>
        <v>25.15</v>
      </c>
      <c r="W291" s="98">
        <f>[1]Dry!R85</f>
        <v>29.59</v>
      </c>
      <c r="X291" s="98">
        <f>[1]Dry!S85</f>
        <v>34.49</v>
      </c>
      <c r="Y291" s="98">
        <f>[1]Dry!T85</f>
        <v>39.44</v>
      </c>
      <c r="Z291" s="98">
        <v>45.36</v>
      </c>
      <c r="AA291" s="98">
        <v>52.25</v>
      </c>
      <c r="AB291" s="98">
        <v>56.9</v>
      </c>
      <c r="AC291" s="98">
        <v>59.87</v>
      </c>
      <c r="AD291" s="98">
        <v>60.74</v>
      </c>
      <c r="AE291" s="98">
        <v>59.61</v>
      </c>
      <c r="AF291" s="98">
        <v>61.24</v>
      </c>
      <c r="AG291" s="106">
        <v>63.35</v>
      </c>
      <c r="AH291" s="107">
        <v>61</v>
      </c>
      <c r="AI291" s="107">
        <v>53.52</v>
      </c>
      <c r="AJ291" s="107">
        <v>50.51</v>
      </c>
      <c r="AK291" s="90">
        <f t="shared" si="49"/>
        <v>202</v>
      </c>
      <c r="AL291" s="90">
        <f t="shared" si="50"/>
        <v>210</v>
      </c>
      <c r="AM291" s="108">
        <f t="shared" si="51"/>
        <v>217</v>
      </c>
      <c r="AN291" s="91">
        <f t="shared" si="52"/>
        <v>234</v>
      </c>
      <c r="AO291" s="108">
        <f t="shared" si="53"/>
        <v>243</v>
      </c>
      <c r="AP291" s="109">
        <f t="shared" si="54"/>
        <v>261</v>
      </c>
      <c r="AQ291" s="110">
        <f t="shared" ref="AQ291:AR353" si="55">ROUND(Q291/VLOOKUP($C291,CapRate,8),0)</f>
        <v>260</v>
      </c>
      <c r="AR291" s="222">
        <f t="shared" si="55"/>
        <v>247</v>
      </c>
      <c r="AS291" s="110">
        <f t="shared" si="47"/>
        <v>252</v>
      </c>
      <c r="AT291" s="110">
        <f t="shared" si="48"/>
        <v>243</v>
      </c>
      <c r="AU291" s="110">
        <f t="shared" si="44"/>
        <v>228</v>
      </c>
      <c r="AV291" s="109">
        <f t="shared" ref="AV291:AV352" si="56">ROUND(V291/VLOOKUP($C291,CapRate,12),0)</f>
        <v>175</v>
      </c>
      <c r="AW291" s="109">
        <f>ROUND(W291/VLOOKUP($C291,CapRate,13),0)</f>
        <v>205</v>
      </c>
      <c r="AX291" s="72">
        <f>ROUND(X291/VLOOKUP($C291,CapRate,14),0)</f>
        <v>239</v>
      </c>
      <c r="AY291" s="72">
        <f>ROUND(Y291/VLOOKUP($C291,CapRate,15),0)</f>
        <v>272</v>
      </c>
      <c r="AZ291" s="72">
        <f>ROUND(Z291/VLOOKUP($C291,CapRate,16),0)</f>
        <v>312</v>
      </c>
      <c r="BA291" s="72">
        <f>ROUND(AA291/VLOOKUP($C291,CapRate,17),0)</f>
        <v>357</v>
      </c>
      <c r="BB291" s="72">
        <f>ROUND(AB291/VLOOKUP($C291,CapRate,18),0)</f>
        <v>388</v>
      </c>
      <c r="BC291" s="72">
        <f>ROUND(AC291/VLOOKUP($C291,CapRate,19),0)</f>
        <v>406</v>
      </c>
      <c r="BD291" s="72">
        <f>ROUND(AD291/VLOOKUP($C291,CapRate,20),0)</f>
        <v>411</v>
      </c>
      <c r="BE291" s="72">
        <f>ROUND(AE291/VLOOKUP($C291,CapRate,21),0)</f>
        <v>402</v>
      </c>
      <c r="BF291" s="72">
        <f>ROUND(AF291/VLOOKUP($C291,CapRate,22),0)</f>
        <v>413</v>
      </c>
      <c r="BG291" s="72">
        <f>ROUND(AG291/VLOOKUP($C291,CapRate,23),0)</f>
        <v>426</v>
      </c>
      <c r="BH291" s="72">
        <f>ROUND(AH291/VLOOKUP($C291,CapRate,24),0)</f>
        <v>410</v>
      </c>
      <c r="BI291" s="72">
        <f>ROUND(AI291/VLOOKUP($C291,CapRate,25),0)</f>
        <v>360</v>
      </c>
      <c r="BJ291" s="72">
        <f>ROUND(AJ291/VLOOKUP($C291,CapRate,26),0)</f>
        <v>341</v>
      </c>
      <c r="BK291" s="87">
        <f t="shared" si="46"/>
        <v>-5.2777777777777812E-2</v>
      </c>
      <c r="BL291" s="114">
        <f>((F289*BK289)+(F290*BK290)+(F291*BK291))</f>
        <v>-1.1161341172675743E-2</v>
      </c>
      <c r="BM291" s="226"/>
      <c r="BN291" s="227">
        <f>BK291</f>
        <v>-5.2777777777777812E-2</v>
      </c>
      <c r="BO291" s="227"/>
      <c r="BP291" s="227"/>
    </row>
    <row r="292" spans="1:68" ht="15.9" customHeight="1" thickTop="1">
      <c r="A292" s="8" t="s">
        <v>138</v>
      </c>
      <c r="B292" s="22"/>
      <c r="C292" s="8" t="s">
        <v>146</v>
      </c>
      <c r="D292" s="23" t="s">
        <v>146</v>
      </c>
      <c r="E292" s="8" t="s">
        <v>39</v>
      </c>
      <c r="F292" s="188">
        <f>[1]AcreSummary!M86</f>
        <v>0.72625706575151316</v>
      </c>
      <c r="G292" s="25"/>
      <c r="H292" s="117"/>
      <c r="I292" s="57">
        <f>[1]Native!E84</f>
        <v>6.09</v>
      </c>
      <c r="J292" s="58">
        <f>[1]Native!F84</f>
        <v>8.77</v>
      </c>
      <c r="K292" s="80">
        <f>[1]Native!G84</f>
        <v>8.91</v>
      </c>
      <c r="L292" s="68">
        <f>[1]Native!H84</f>
        <v>9.01</v>
      </c>
      <c r="M292" s="58">
        <f>[1]Native!I84</f>
        <v>9.32</v>
      </c>
      <c r="N292" s="81">
        <f>[1]Native!J84</f>
        <v>9.66</v>
      </c>
      <c r="O292" s="62">
        <v>8.2100000000000009</v>
      </c>
      <c r="P292" s="81">
        <f>[1]Native!K84</f>
        <v>9.9700000000000006</v>
      </c>
      <c r="Q292" s="82">
        <f>[1]Native!L84</f>
        <v>10.130000000000001</v>
      </c>
      <c r="R292" s="83">
        <v>10.130000000000001</v>
      </c>
      <c r="S292" s="84">
        <f>[1]Native!M84</f>
        <v>10.29</v>
      </c>
      <c r="T292" s="66">
        <f>[1]Native!N84</f>
        <v>10.41</v>
      </c>
      <c r="U292" s="67">
        <f>[1]Native!O84</f>
        <v>10.49</v>
      </c>
      <c r="V292" s="68">
        <f>[1]Native!P84</f>
        <v>4.3600000000000003</v>
      </c>
      <c r="W292" s="68">
        <f>[1]Native!Q84</f>
        <v>3.39</v>
      </c>
      <c r="X292" s="68">
        <v>3.05</v>
      </c>
      <c r="Y292" s="68">
        <v>2.7</v>
      </c>
      <c r="Z292" s="68">
        <v>10.43</v>
      </c>
      <c r="AA292" s="68">
        <v>12.17</v>
      </c>
      <c r="AB292" s="68">
        <v>5.13</v>
      </c>
      <c r="AC292" s="68">
        <v>5.99</v>
      </c>
      <c r="AD292" s="68">
        <v>7.18</v>
      </c>
      <c r="AE292" s="68">
        <v>8.4</v>
      </c>
      <c r="AF292" s="68">
        <v>8.98</v>
      </c>
      <c r="AG292" s="69">
        <v>9.57</v>
      </c>
      <c r="AH292" s="70">
        <v>10.119999999999999</v>
      </c>
      <c r="AI292" s="70">
        <v>10.19</v>
      </c>
      <c r="AJ292" s="70">
        <v>10.58</v>
      </c>
      <c r="AK292" s="8">
        <f t="shared" si="49"/>
        <v>61</v>
      </c>
      <c r="AL292" s="8">
        <f t="shared" si="50"/>
        <v>62</v>
      </c>
      <c r="AM292" s="85">
        <f t="shared" si="51"/>
        <v>62</v>
      </c>
      <c r="AN292" s="23">
        <f t="shared" si="52"/>
        <v>65</v>
      </c>
      <c r="AO292" s="85">
        <f t="shared" si="53"/>
        <v>60</v>
      </c>
      <c r="AP292" s="72">
        <f t="shared" si="54"/>
        <v>73</v>
      </c>
      <c r="AQ292" s="71">
        <f t="shared" si="55"/>
        <v>74</v>
      </c>
      <c r="AR292" s="71">
        <f t="shared" si="55"/>
        <v>74</v>
      </c>
      <c r="AS292" s="71">
        <f t="shared" si="47"/>
        <v>75</v>
      </c>
      <c r="AT292" s="71">
        <f t="shared" si="48"/>
        <v>76</v>
      </c>
      <c r="AU292" s="71">
        <f t="shared" ref="AU292:AU354" si="57">ROUND(U292/VLOOKUP($C292,CapRate,11),0)</f>
        <v>76</v>
      </c>
      <c r="AV292" s="72">
        <f t="shared" si="56"/>
        <v>31</v>
      </c>
      <c r="AW292" s="72">
        <f>ROUND(W292/VLOOKUP($C292,CapRate,13),0)</f>
        <v>24</v>
      </c>
      <c r="AX292" s="122">
        <f>IF(ROUND(X292/VLOOKUP($C292,CapRate,14),0)&gt;10,X292/VLOOKUP($C292,CapRate,14),10)</f>
        <v>21.661931818181817</v>
      </c>
      <c r="AY292" s="122">
        <f>IF(ROUND(Y292/VLOOKUP($C292,CapRate,15),0)&gt;10,Y292/VLOOKUP($C292,CapRate,15),10)</f>
        <v>19.094766619519095</v>
      </c>
      <c r="AZ292" s="122">
        <f>IF(ROUND(Z292/VLOOKUP($C292,CapRate,16),0)&gt;10,Z292/VLOOKUP($C292,CapRate,16),10)</f>
        <v>73.658192090395474</v>
      </c>
      <c r="BA292" s="122">
        <f>IF(ROUND(AA292/VLOOKUP($C292,CapRate,17),0)&gt;10,AA292/VLOOKUP($C292,CapRate,17),10)</f>
        <v>85.704225352112687</v>
      </c>
      <c r="BB292" s="122">
        <f>IF(ROUND(AB292/VLOOKUP($C292,CapRate,18),0)&gt;10,AB292/VLOOKUP($C292,CapRate,18),10)</f>
        <v>35.974754558204765</v>
      </c>
      <c r="BC292" s="122">
        <f>IF(ROUND(AC292/VLOOKUP($C292,CapRate,19),0)&gt;10,AC292/VLOOKUP($C292,CapRate,19),10)</f>
        <v>41.713091922005574</v>
      </c>
      <c r="BD292" s="122">
        <f>IF(ROUND(AD292/VLOOKUP($C292,CapRate,20),0)&gt;10,AD292/VLOOKUP($C292,CapRate,20),10)</f>
        <v>49.757449757449749</v>
      </c>
      <c r="BE292" s="122">
        <f>IF(ROUND(AE292/VLOOKUP($C292,CapRate,21),0)&gt;10,AE292/VLOOKUP($C292,CapRate,21),10)</f>
        <v>57.971014492753625</v>
      </c>
      <c r="BF292" s="122">
        <f>IF(ROUND(AF292/VLOOKUP($C292,CapRate,22),0)&gt;10,AF292/VLOOKUP($C292,CapRate,22),10)</f>
        <v>61.760660247592853</v>
      </c>
      <c r="BG292" s="122">
        <f>IF(ROUND(AG292/VLOOKUP($C292,CapRate,23),0)&gt;10,AG292/VLOOKUP($C292,CapRate,23),10)</f>
        <v>65.547945205479465</v>
      </c>
      <c r="BH292" s="122">
        <f>IF(ROUND(AH292/VLOOKUP($C292,CapRate,24),0)&gt;10,AH292/VLOOKUP($C292,CapRate,24),10)</f>
        <v>69.078498293515352</v>
      </c>
      <c r="BI292" s="122">
        <f>IF(ROUND(AI292/VLOOKUP($C292,CapRate,25),0)&gt;10,AI292/VLOOKUP($C292,CapRate,25),10)</f>
        <v>69.603825136612016</v>
      </c>
      <c r="BJ292" s="122">
        <f>IF(ROUND(AJ292/VLOOKUP($C292,CapRate,26),0)&gt;10,AJ292/VLOOKUP($C292,CapRate,26),10)</f>
        <v>72.515421521590127</v>
      </c>
      <c r="BK292" s="75">
        <f t="shared" ref="BK292:BK355" si="58">SUM(BJ292/BI292)-1</f>
        <v>4.1830982410284046E-2</v>
      </c>
      <c r="BL292" s="76"/>
      <c r="BM292" s="219">
        <f>BK292</f>
        <v>4.1830982410284046E-2</v>
      </c>
      <c r="BN292" s="220"/>
      <c r="BO292" s="220"/>
      <c r="BP292" s="220"/>
    </row>
    <row r="293" spans="1:68" ht="15.9" customHeight="1">
      <c r="A293" s="8"/>
      <c r="B293" s="22"/>
      <c r="C293" s="8" t="s">
        <v>146</v>
      </c>
      <c r="D293" s="23"/>
      <c r="E293" s="8" t="s">
        <v>85</v>
      </c>
      <c r="F293" s="188">
        <f>[1]AcreSummary!L86</f>
        <v>3.1015535447843193E-2</v>
      </c>
      <c r="G293" s="25"/>
      <c r="H293" s="117"/>
      <c r="I293" s="57"/>
      <c r="J293" s="58">
        <f>[1]Tame!D53</f>
        <v>11.41</v>
      </c>
      <c r="K293" s="80">
        <f>[1]Tame!E53</f>
        <v>10.95</v>
      </c>
      <c r="L293" s="68">
        <f>[1]Tame!F53</f>
        <v>10.49</v>
      </c>
      <c r="M293" s="58">
        <f>[1]Tame!G53</f>
        <v>10.199999999999999</v>
      </c>
      <c r="N293" s="81">
        <f>[1]Tame!H53</f>
        <v>9.9</v>
      </c>
      <c r="O293" s="62">
        <v>9.84</v>
      </c>
      <c r="P293" s="81">
        <f>[1]Tame!I53</f>
        <v>9.5399999999999991</v>
      </c>
      <c r="Q293" s="82">
        <f>[1]Tame!J53</f>
        <v>9.5</v>
      </c>
      <c r="R293" s="83">
        <v>9.5</v>
      </c>
      <c r="S293" s="84">
        <f>[1]Tame!K53</f>
        <v>9.19</v>
      </c>
      <c r="T293" s="66">
        <f>[1]Tame!L53</f>
        <v>8.57</v>
      </c>
      <c r="U293" s="67">
        <f>[1]Tame!M53</f>
        <v>8.81</v>
      </c>
      <c r="V293" s="68">
        <f>[1]Tame!N53</f>
        <v>0.62</v>
      </c>
      <c r="W293" s="68">
        <f>[1]Tame!O53</f>
        <v>-0.42</v>
      </c>
      <c r="X293" s="68">
        <v>-0.66</v>
      </c>
      <c r="Y293" s="68">
        <v>-0.9</v>
      </c>
      <c r="Z293" s="68">
        <v>0.93</v>
      </c>
      <c r="AA293" s="68">
        <v>3.05</v>
      </c>
      <c r="AB293" s="68">
        <v>4.8600000000000003</v>
      </c>
      <c r="AC293" s="68">
        <v>0</v>
      </c>
      <c r="AD293" s="68">
        <v>8.3699999999999992</v>
      </c>
      <c r="AE293" s="68">
        <v>10.1</v>
      </c>
      <c r="AF293" s="68">
        <v>11.07</v>
      </c>
      <c r="AG293" s="69">
        <v>12.01</v>
      </c>
      <c r="AH293" s="70">
        <v>12.9</v>
      </c>
      <c r="AI293" s="70">
        <v>13.33</v>
      </c>
      <c r="AJ293" s="70">
        <v>14.09</v>
      </c>
      <c r="AK293" s="8">
        <f>ROUND(J293/VLOOKUP($C293,CapRate,2),0)</f>
        <v>79</v>
      </c>
      <c r="AL293" s="8">
        <f>ROUND(K293/VLOOKUP($C293,CapRate,3),0)</f>
        <v>76</v>
      </c>
      <c r="AM293" s="85">
        <f>ROUND(L293/VLOOKUP($C293,CapRate,4),0)</f>
        <v>72</v>
      </c>
      <c r="AN293" s="23">
        <f>ROUND(M293/VLOOKUP($C293,CapRate,5),0)</f>
        <v>71</v>
      </c>
      <c r="AO293" s="85">
        <f t="shared" si="53"/>
        <v>72</v>
      </c>
      <c r="AP293" s="72">
        <f t="shared" si="54"/>
        <v>70</v>
      </c>
      <c r="AQ293" s="71">
        <f t="shared" si="55"/>
        <v>70</v>
      </c>
      <c r="AR293" s="71">
        <f t="shared" si="55"/>
        <v>70</v>
      </c>
      <c r="AS293" s="71">
        <f t="shared" si="47"/>
        <v>67</v>
      </c>
      <c r="AT293" s="71">
        <f t="shared" si="48"/>
        <v>62</v>
      </c>
      <c r="AU293" s="71">
        <f t="shared" si="57"/>
        <v>64</v>
      </c>
      <c r="AV293" s="72">
        <f>IF(ROUND(V293/VLOOKUP($C293,CapRate,12),0)&gt;AV292,V293/VLOOKUP($C293,CapRate,12),AV292)</f>
        <v>31</v>
      </c>
      <c r="AW293" s="72">
        <f>IF(ROUND(W293/VLOOKUP($C293,CapRate,13),0)&gt;AW292,W293/VLOOKUP($C293,CapRate,13),AW292)</f>
        <v>24</v>
      </c>
      <c r="AX293" s="72">
        <f>IF(ROUND(X293/VLOOKUP($C293,CapRate,14),0)&gt;AX292,X293/VLOOKUP($C293,CapRate,14),AX292)</f>
        <v>21.661931818181817</v>
      </c>
      <c r="AY293" s="72">
        <f>IF(ROUND(Y293/VLOOKUP($C293,CapRate,15),0)&gt;AY292,Y293/VLOOKUP($C293,CapRate,15),AY292)</f>
        <v>19.094766619519095</v>
      </c>
      <c r="AZ293" s="72">
        <f>IF(ROUND(Z293/VLOOKUP($C293,CapRate,16),0)&gt;AZ292,Z293/VLOOKUP($C293,CapRate,16),AZ292)</f>
        <v>73.658192090395474</v>
      </c>
      <c r="BA293" s="72">
        <f>IF(ROUND(AA293/VLOOKUP($C293,CapRate,17),0)&gt;BA292,AA293/VLOOKUP($C293,CapRate,17),BA292)</f>
        <v>85.704225352112687</v>
      </c>
      <c r="BB293" s="72">
        <f>IF(ROUND(AB293/VLOOKUP($C293,CapRate,18),0)&gt;BB292,AB293/VLOOKUP($C293,CapRate,18),BB292)</f>
        <v>35.974754558204765</v>
      </c>
      <c r="BC293" s="72">
        <f>IF(ROUND(AC293/VLOOKUP($C293,CapRate,19),0)&gt;BC292,AC293/VLOOKUP($C293,CapRate,19),BC292)</f>
        <v>41.713091922005574</v>
      </c>
      <c r="BD293" s="72">
        <f>IF(ROUND(AD293/VLOOKUP($C293,CapRate,20),0)&gt;BD292,AD293/VLOOKUP($C293,CapRate,20),BD292)</f>
        <v>58.004158004157993</v>
      </c>
      <c r="BE293" s="72">
        <f>IF(ROUND(AE293/VLOOKUP($C293,CapRate,21),0)&gt;BE292,AE293/VLOOKUP($C293,CapRate,21),BE292)</f>
        <v>69.703243616287097</v>
      </c>
      <c r="BF293" s="72">
        <f>IF(ROUND(AF293/VLOOKUP($C293,CapRate,22),0)&gt;BF292,AF293/VLOOKUP($C293,CapRate,22),BF292)</f>
        <v>76.134800550206322</v>
      </c>
      <c r="BG293" s="72">
        <f>IF(ROUND(AG293/VLOOKUP($C293,CapRate,23),0)&gt;BG292,AG293/VLOOKUP($C293,CapRate,23),BG292)</f>
        <v>82.260273972602747</v>
      </c>
      <c r="BH293" s="72">
        <f>IF(ROUND(AH293/VLOOKUP($C293,CapRate,24),0)&gt;BH292,AH293/VLOOKUP($C293,CapRate,24),BH292)</f>
        <v>88.054607508532428</v>
      </c>
      <c r="BI293" s="72">
        <f>IF(ROUND(AI293/VLOOKUP($C293,CapRate,25),0)&gt;BI292,AI293/VLOOKUP($C293,CapRate,25),BI292)</f>
        <v>91.051912568306008</v>
      </c>
      <c r="BJ293" s="72">
        <f>IF(ROUND(AJ293/VLOOKUP($C293,CapRate,26),0)&gt;BJ292,AJ293/VLOOKUP($C293,CapRate,26),BJ292)</f>
        <v>96.572995202193283</v>
      </c>
      <c r="BK293" s="87">
        <f t="shared" si="58"/>
        <v>6.063664648170275E-2</v>
      </c>
      <c r="BL293" s="76"/>
      <c r="BM293" s="77"/>
      <c r="BN293" s="77"/>
      <c r="BO293" s="77"/>
      <c r="BP293" s="77">
        <f>BK293</f>
        <v>6.063664648170275E-2</v>
      </c>
    </row>
    <row r="294" spans="1:68" ht="15.9" customHeight="1">
      <c r="A294" s="8" t="s">
        <v>138</v>
      </c>
      <c r="B294" s="22"/>
      <c r="C294" s="8" t="s">
        <v>146</v>
      </c>
      <c r="D294" s="23"/>
      <c r="E294" s="8" t="s">
        <v>40</v>
      </c>
      <c r="F294" s="229">
        <f>[1]AcreSummary!J86</f>
        <v>0.21723276118076923</v>
      </c>
      <c r="G294" s="25"/>
      <c r="H294" s="117"/>
      <c r="I294" s="57">
        <f>[1]Dry!E86</f>
        <v>27.25</v>
      </c>
      <c r="J294" s="58">
        <f>[1]Dry!F86</f>
        <v>28.65</v>
      </c>
      <c r="K294" s="80">
        <f>[1]Dry!G86</f>
        <v>29.05</v>
      </c>
      <c r="L294" s="68">
        <f>[1]Dry!H86</f>
        <v>30.28</v>
      </c>
      <c r="M294" s="58">
        <f>[1]Dry!I86</f>
        <v>31.75</v>
      </c>
      <c r="N294" s="81">
        <f>[1]Dry!J86</f>
        <v>33.56</v>
      </c>
      <c r="O294" s="62">
        <v>33.26</v>
      </c>
      <c r="P294" s="81">
        <f>[1]Dry!K86</f>
        <v>34.54</v>
      </c>
      <c r="Q294" s="82">
        <f>[1]Dry!L86</f>
        <v>35.840000000000003</v>
      </c>
      <c r="R294" s="83">
        <f>Q294*0.95</f>
        <v>34.048000000000002</v>
      </c>
      <c r="S294" s="84">
        <f>[1]Dry!N86</f>
        <v>36.26</v>
      </c>
      <c r="T294" s="66">
        <f>[1]Dry!O86</f>
        <v>36.549999999999997</v>
      </c>
      <c r="U294" s="67">
        <f>[1]Dry!P86</f>
        <v>36</v>
      </c>
      <c r="V294" s="68">
        <f>[1]Dry!Q86</f>
        <v>31.97</v>
      </c>
      <c r="W294" s="68">
        <f>[1]Dry!R86</f>
        <v>35.44</v>
      </c>
      <c r="X294" s="68">
        <f>[1]Dry!S86</f>
        <v>39.69</v>
      </c>
      <c r="Y294" s="68">
        <f>[1]Dry!T86</f>
        <v>45.31</v>
      </c>
      <c r="Z294" s="68">
        <v>52.12</v>
      </c>
      <c r="AA294" s="68">
        <v>59.92</v>
      </c>
      <c r="AB294" s="68">
        <v>66.28</v>
      </c>
      <c r="AC294" s="68">
        <v>70.59</v>
      </c>
      <c r="AD294" s="68">
        <v>72.19</v>
      </c>
      <c r="AE294" s="68">
        <v>72.510000000000005</v>
      </c>
      <c r="AF294" s="68">
        <v>75.260000000000005</v>
      </c>
      <c r="AG294" s="69">
        <v>77.06</v>
      </c>
      <c r="AH294" s="70">
        <v>74.900000000000006</v>
      </c>
      <c r="AI294" s="70">
        <v>68.19</v>
      </c>
      <c r="AJ294" s="70">
        <v>65.7</v>
      </c>
      <c r="AK294" s="8">
        <f t="shared" si="49"/>
        <v>198</v>
      </c>
      <c r="AL294" s="8">
        <f t="shared" si="50"/>
        <v>201</v>
      </c>
      <c r="AM294" s="85">
        <f t="shared" si="51"/>
        <v>208</v>
      </c>
      <c r="AN294" s="23">
        <f t="shared" si="52"/>
        <v>222</v>
      </c>
      <c r="AO294" s="85">
        <f t="shared" si="53"/>
        <v>242</v>
      </c>
      <c r="AP294" s="72">
        <f t="shared" si="54"/>
        <v>254</v>
      </c>
      <c r="AQ294" s="71">
        <f t="shared" si="55"/>
        <v>262</v>
      </c>
      <c r="AR294" s="71">
        <f t="shared" si="55"/>
        <v>249</v>
      </c>
      <c r="AS294" s="71">
        <f t="shared" ref="AS294:AS356" si="59">ROUND(S294/VLOOKUP($C294,CapRate,9),0)</f>
        <v>264</v>
      </c>
      <c r="AT294" s="71">
        <f t="shared" ref="AT294:AT356" si="60">ROUND(T294/VLOOKUP($C294,CapRate,10),0)</f>
        <v>266</v>
      </c>
      <c r="AU294" s="71">
        <f t="shared" si="57"/>
        <v>261</v>
      </c>
      <c r="AV294" s="72">
        <f t="shared" si="56"/>
        <v>228</v>
      </c>
      <c r="AW294" s="72">
        <f>ROUND(W294/VLOOKUP($C294,CapRate,13),0)</f>
        <v>252</v>
      </c>
      <c r="AX294" s="72">
        <f>ROUND(X294/VLOOKUP($C294,CapRate,14),0)</f>
        <v>282</v>
      </c>
      <c r="AY294" s="72">
        <f>ROUND(Y294/VLOOKUP($C294,CapRate,15),0)</f>
        <v>320</v>
      </c>
      <c r="AZ294" s="72">
        <f>ROUND(Z294/VLOOKUP($C294,CapRate,16),0)</f>
        <v>368</v>
      </c>
      <c r="BA294" s="72">
        <f>ROUND(AA294/VLOOKUP($C294,CapRate,17),0)</f>
        <v>422</v>
      </c>
      <c r="BB294" s="72">
        <f>ROUND(AB294/VLOOKUP($C294,CapRate,18),0)</f>
        <v>465</v>
      </c>
      <c r="BC294" s="72">
        <f>ROUND(AC294/VLOOKUP($C294,CapRate,19),0)</f>
        <v>492</v>
      </c>
      <c r="BD294" s="72">
        <f>ROUND(AD294/VLOOKUP($C294,CapRate,20),0)</f>
        <v>500</v>
      </c>
      <c r="BE294" s="72">
        <f>ROUND(AE294/VLOOKUP($C294,CapRate,21),0)</f>
        <v>500</v>
      </c>
      <c r="BF294" s="72">
        <f>ROUND(AF294/VLOOKUP($C294,CapRate,22),0)</f>
        <v>518</v>
      </c>
      <c r="BG294" s="72">
        <f>ROUND(AG294/VLOOKUP($C294,CapRate,23),0)</f>
        <v>528</v>
      </c>
      <c r="BH294" s="72">
        <f>ROUND(AH294/VLOOKUP($C294,CapRate,24),0)</f>
        <v>511</v>
      </c>
      <c r="BI294" s="72">
        <f>ROUND(AI294/VLOOKUP($C294,CapRate,25),0)</f>
        <v>466</v>
      </c>
      <c r="BJ294" s="72">
        <f>ROUND(AJ294/VLOOKUP($C294,CapRate,26),0)</f>
        <v>450</v>
      </c>
      <c r="BK294" s="87">
        <f t="shared" si="58"/>
        <v>-3.4334763948497882E-2</v>
      </c>
      <c r="BL294" s="76"/>
      <c r="BM294" s="218"/>
      <c r="BN294" s="77">
        <f>BK294</f>
        <v>-3.4334763948497882E-2</v>
      </c>
      <c r="BO294" s="77"/>
      <c r="BP294" s="77"/>
    </row>
    <row r="295" spans="1:68" ht="15.9" customHeight="1" thickBot="1">
      <c r="A295" s="8" t="s">
        <v>138</v>
      </c>
      <c r="B295" s="22"/>
      <c r="C295" s="90" t="s">
        <v>146</v>
      </c>
      <c r="D295" s="91"/>
      <c r="E295" s="90" t="s">
        <v>41</v>
      </c>
      <c r="F295" s="230">
        <f>[1]AcreSummary!K86</f>
        <v>2.5494637619874399E-2</v>
      </c>
      <c r="G295" s="191">
        <f>[1]Irrigated!D80</f>
        <v>100</v>
      </c>
      <c r="H295" s="94">
        <f>[1]Irrigated!E80</f>
        <v>1</v>
      </c>
      <c r="I295" s="95"/>
      <c r="J295" s="96">
        <f>[1]Irrigated!H80</f>
        <v>59.17</v>
      </c>
      <c r="K295" s="97">
        <f>[1]Irrigated!I80</f>
        <v>60.1</v>
      </c>
      <c r="L295" s="98">
        <f>[1]Irrigated!J80</f>
        <v>60.11</v>
      </c>
      <c r="M295" s="96">
        <f>[1]Irrigated!K80</f>
        <v>59.88</v>
      </c>
      <c r="N295" s="99">
        <f>[1]Irrigated!L80</f>
        <v>62.1</v>
      </c>
      <c r="O295" s="100">
        <v>54.43</v>
      </c>
      <c r="P295" s="99">
        <f>[1]Irrigated!M80</f>
        <v>62.04</v>
      </c>
      <c r="Q295" s="101">
        <f>[1]Irrigated!N80</f>
        <v>58.87</v>
      </c>
      <c r="R295" s="102">
        <v>58.87</v>
      </c>
      <c r="S295" s="103">
        <f>[1]Irrigated!O80</f>
        <v>56.1</v>
      </c>
      <c r="T295" s="104">
        <f>[1]Irrigated!P80</f>
        <v>55.3</v>
      </c>
      <c r="U295" s="105">
        <f>[1]Irrigated!Q80</f>
        <v>51.85</v>
      </c>
      <c r="V295" s="98">
        <f>[1]Irrigated!R80</f>
        <v>47.87</v>
      </c>
      <c r="W295" s="98">
        <f>[1]Irrigated!S80</f>
        <v>54.54</v>
      </c>
      <c r="X295" s="98">
        <v>64.069999999999993</v>
      </c>
      <c r="Y295" s="98">
        <v>77.52</v>
      </c>
      <c r="Z295" s="98">
        <v>91.87</v>
      </c>
      <c r="AA295" s="98">
        <v>104.19</v>
      </c>
      <c r="AB295" s="98">
        <v>119.96</v>
      </c>
      <c r="AC295" s="98">
        <v>131.22999999999999</v>
      </c>
      <c r="AD295" s="98">
        <v>137.26</v>
      </c>
      <c r="AE295" s="98">
        <v>140.71</v>
      </c>
      <c r="AF295" s="98">
        <v>139.37</v>
      </c>
      <c r="AG295" s="106">
        <v>133.88</v>
      </c>
      <c r="AH295" s="107">
        <v>116.27</v>
      </c>
      <c r="AI295" s="107">
        <v>90.72</v>
      </c>
      <c r="AJ295" s="107">
        <v>68.489999999999995</v>
      </c>
      <c r="AK295" s="90">
        <f t="shared" si="49"/>
        <v>409</v>
      </c>
      <c r="AL295" s="90">
        <f t="shared" si="50"/>
        <v>416</v>
      </c>
      <c r="AM295" s="108">
        <f t="shared" si="51"/>
        <v>412</v>
      </c>
      <c r="AN295" s="91">
        <f t="shared" si="52"/>
        <v>418</v>
      </c>
      <c r="AO295" s="108">
        <f t="shared" si="53"/>
        <v>396</v>
      </c>
      <c r="AP295" s="109">
        <f t="shared" si="54"/>
        <v>457</v>
      </c>
      <c r="AQ295" s="110">
        <f t="shared" si="55"/>
        <v>431</v>
      </c>
      <c r="AR295" s="110">
        <f t="shared" si="55"/>
        <v>431</v>
      </c>
      <c r="AS295" s="110">
        <f t="shared" si="59"/>
        <v>409</v>
      </c>
      <c r="AT295" s="110">
        <f t="shared" si="60"/>
        <v>403</v>
      </c>
      <c r="AU295" s="110">
        <f t="shared" si="57"/>
        <v>377</v>
      </c>
      <c r="AV295" s="109">
        <f t="shared" si="56"/>
        <v>341</v>
      </c>
      <c r="AW295" s="109">
        <f>ROUND(W295/VLOOKUP($C295,CapRate,13),0)</f>
        <v>388</v>
      </c>
      <c r="AX295" s="72">
        <f>ROUND(X295/VLOOKUP($C295,CapRate,14),0)</f>
        <v>455</v>
      </c>
      <c r="AY295" s="72">
        <f>ROUND(Y295/VLOOKUP($C295,CapRate,15),0)</f>
        <v>548</v>
      </c>
      <c r="AZ295" s="72">
        <f>ROUND(Z295/VLOOKUP($C295,CapRate,16),0)</f>
        <v>649</v>
      </c>
      <c r="BA295" s="72">
        <f>ROUND(AA295/VLOOKUP($C295,CapRate,17),0)</f>
        <v>734</v>
      </c>
      <c r="BB295" s="72">
        <f>ROUND(AB295/VLOOKUP($C295,CapRate,18),0)</f>
        <v>841</v>
      </c>
      <c r="BC295" s="72">
        <f>ROUND(AC295/VLOOKUP($C295,CapRate,19),0)</f>
        <v>914</v>
      </c>
      <c r="BD295" s="72">
        <f>ROUND(AD295/VLOOKUP($C295,CapRate,20),0)</f>
        <v>951</v>
      </c>
      <c r="BE295" s="72">
        <f>ROUND(AE295/VLOOKUP($C295,CapRate,21),0)</f>
        <v>971</v>
      </c>
      <c r="BF295" s="72">
        <f>ROUND(AF295/VLOOKUP($C295,CapRate,22),0)</f>
        <v>959</v>
      </c>
      <c r="BG295" s="72">
        <f>ROUND(AG295/VLOOKUP($C295,CapRate,23),0)</f>
        <v>917</v>
      </c>
      <c r="BH295" s="72">
        <f>ROUND(AH295/VLOOKUP($C295,CapRate,24),0)</f>
        <v>794</v>
      </c>
      <c r="BI295" s="72">
        <f>ROUND(AI295/VLOOKUP($C295,CapRate,25),0)</f>
        <v>620</v>
      </c>
      <c r="BJ295" s="72">
        <f>ROUND(AJ295/VLOOKUP($C295,CapRate,26),0)</f>
        <v>469</v>
      </c>
      <c r="BK295" s="193">
        <f t="shared" si="58"/>
        <v>-0.24354838709677418</v>
      </c>
      <c r="BL295" s="114">
        <f>((F292*BK292)+(F293*BK293)+(F294*BK294)+(F295*BK295))</f>
        <v>1.8592911152228362E-2</v>
      </c>
      <c r="BM295" s="226"/>
      <c r="BN295" s="227"/>
      <c r="BO295" s="227">
        <f>BK295</f>
        <v>-0.24354838709677418</v>
      </c>
      <c r="BP295" s="227"/>
    </row>
    <row r="296" spans="1:68" ht="15.9" customHeight="1" thickTop="1">
      <c r="A296" s="8" t="s">
        <v>138</v>
      </c>
      <c r="B296" s="22"/>
      <c r="C296" s="8" t="s">
        <v>147</v>
      </c>
      <c r="D296" s="23" t="s">
        <v>147</v>
      </c>
      <c r="E296" s="8" t="s">
        <v>39</v>
      </c>
      <c r="F296" s="188">
        <f>[1]AcreSummary!M87</f>
        <v>0.19144539324909107</v>
      </c>
      <c r="G296" s="25"/>
      <c r="H296" s="117"/>
      <c r="I296" s="57">
        <f>[1]Native!E85</f>
        <v>9.09</v>
      </c>
      <c r="J296" s="58">
        <f>[1]Native!F85</f>
        <v>7.37</v>
      </c>
      <c r="K296" s="80">
        <f>[1]Native!G85</f>
        <v>7.83</v>
      </c>
      <c r="L296" s="68">
        <f>[1]Native!H85</f>
        <v>8.0500000000000007</v>
      </c>
      <c r="M296" s="58">
        <f>[1]Native!I85</f>
        <v>8.4600000000000009</v>
      </c>
      <c r="N296" s="81">
        <f>[1]Native!J85</f>
        <v>8.92</v>
      </c>
      <c r="O296" s="62">
        <v>5.77</v>
      </c>
      <c r="P296" s="81">
        <f>[1]Native!K85</f>
        <v>9.33</v>
      </c>
      <c r="Q296" s="82">
        <f>[1]Native!L85</f>
        <v>9.6199999999999992</v>
      </c>
      <c r="R296" s="83">
        <v>9.6199999999999992</v>
      </c>
      <c r="S296" s="84">
        <f>[1]Native!M85</f>
        <v>13.48</v>
      </c>
      <c r="T296" s="66">
        <f>[1]Native!N85</f>
        <v>13.81</v>
      </c>
      <c r="U296" s="67">
        <f>[1]Native!O85</f>
        <v>13.67</v>
      </c>
      <c r="V296" s="68">
        <f>[1]Native!P85</f>
        <v>9.6</v>
      </c>
      <c r="W296" s="68">
        <f>[1]Native!Q85</f>
        <v>8.8699999999999992</v>
      </c>
      <c r="X296" s="68">
        <v>8.86</v>
      </c>
      <c r="Y296" s="68">
        <v>8.84</v>
      </c>
      <c r="Z296" s="68">
        <v>10.11</v>
      </c>
      <c r="AA296" s="68">
        <v>11.54</v>
      </c>
      <c r="AB296" s="68">
        <v>12.65</v>
      </c>
      <c r="AC296" s="68">
        <v>14.02</v>
      </c>
      <c r="AD296" s="68">
        <v>15.76</v>
      </c>
      <c r="AE296" s="68">
        <v>16.97</v>
      </c>
      <c r="AF296" s="68">
        <v>17.88</v>
      </c>
      <c r="AG296" s="69">
        <v>18.670000000000002</v>
      </c>
      <c r="AH296" s="70">
        <v>19.53</v>
      </c>
      <c r="AI296" s="70">
        <v>19.61</v>
      </c>
      <c r="AJ296" s="70">
        <v>20.23</v>
      </c>
      <c r="AK296" s="8">
        <f t="shared" si="49"/>
        <v>48</v>
      </c>
      <c r="AL296" s="8">
        <f t="shared" si="50"/>
        <v>51</v>
      </c>
      <c r="AM296" s="85">
        <f t="shared" si="51"/>
        <v>52</v>
      </c>
      <c r="AN296" s="23">
        <f t="shared" si="52"/>
        <v>56</v>
      </c>
      <c r="AO296" s="85">
        <f t="shared" si="53"/>
        <v>40</v>
      </c>
      <c r="AP296" s="72">
        <f t="shared" si="54"/>
        <v>65</v>
      </c>
      <c r="AQ296" s="71">
        <f t="shared" si="55"/>
        <v>67</v>
      </c>
      <c r="AR296" s="71">
        <f t="shared" si="55"/>
        <v>67</v>
      </c>
      <c r="AS296" s="71">
        <f t="shared" si="59"/>
        <v>94</v>
      </c>
      <c r="AT296" s="71">
        <f t="shared" si="60"/>
        <v>96</v>
      </c>
      <c r="AU296" s="71">
        <f t="shared" si="57"/>
        <v>96</v>
      </c>
      <c r="AV296" s="72">
        <f t="shared" si="56"/>
        <v>67</v>
      </c>
      <c r="AW296" s="72">
        <f>ROUND(W296/VLOOKUP($C296,CapRate,13),0)</f>
        <v>61</v>
      </c>
      <c r="AX296" s="122">
        <f>IF(ROUND(X296/VLOOKUP($C296,CapRate,14),0)&gt;10,X296/VLOOKUP($C296,CapRate,14),10)</f>
        <v>61.103448275862071</v>
      </c>
      <c r="AY296" s="122">
        <f>IF(ROUND(Y296/VLOOKUP($C296,CapRate,15),0)&gt;10,Y296/VLOOKUP($C296,CapRate,15),10)</f>
        <v>60.714285714285708</v>
      </c>
      <c r="AZ296" s="122">
        <f>IF(ROUND(Z296/VLOOKUP($C296,CapRate,16),0)&gt;10,Z296/VLOOKUP($C296,CapRate,16),10)</f>
        <v>69.341563786008223</v>
      </c>
      <c r="BA296" s="122">
        <f>IF(ROUND(AA296/VLOOKUP($C296,CapRate,17),0)&gt;10,AA296/VLOOKUP($C296,CapRate,17),10)</f>
        <v>78.932968536251707</v>
      </c>
      <c r="BB296" s="122">
        <f>IF(ROUND(AB296/VLOOKUP($C296,CapRate,18),0)&gt;10,AB296/VLOOKUP($C296,CapRate,18),10)</f>
        <v>86.289222373806268</v>
      </c>
      <c r="BC296" s="122">
        <f>IF(ROUND(AC296/VLOOKUP($C296,CapRate,19),0)&gt;10,AC296/VLOOKUP($C296,CapRate,19),10)</f>
        <v>95.374149659863946</v>
      </c>
      <c r="BD296" s="122">
        <f>IF(ROUND(AD296/VLOOKUP($C296,CapRate,20),0)&gt;10,AD296/VLOOKUP($C296,CapRate,20),10)</f>
        <v>107.1380013596193</v>
      </c>
      <c r="BE296" s="122">
        <f>IF(ROUND(AE296/VLOOKUP($C296,CapRate,21),0)&gt;10,AE296/VLOOKUP($C296,CapRate,21),10)</f>
        <v>115.4421768707483</v>
      </c>
      <c r="BF296" s="122">
        <f>IF(ROUND(AF296/VLOOKUP($C296,CapRate,22),0)&gt;10,AF296/VLOOKUP($C296,CapRate,22),10)</f>
        <v>121.79836512261579</v>
      </c>
      <c r="BG296" s="122">
        <f>IF(ROUND(AG296/VLOOKUP($C296,CapRate,23),0)&gt;10,AG296/VLOOKUP($C296,CapRate,23),10)</f>
        <v>127.44027303754268</v>
      </c>
      <c r="BH296" s="122">
        <f>IF(ROUND(AH296/VLOOKUP($C296,CapRate,24),0)&gt;10,AH296/VLOOKUP($C296,CapRate,24),10)</f>
        <v>133.5841313269494</v>
      </c>
      <c r="BI296" s="122">
        <f>IF(ROUND(AI296/VLOOKUP($C296,CapRate,25),0)&gt;10,AI296/VLOOKUP($C296,CapRate,25),10)</f>
        <v>134.40712816997944</v>
      </c>
      <c r="BJ296" s="122">
        <f>IF(ROUND(AJ296/VLOOKUP($C296,CapRate,26),0)&gt;10,AJ296/VLOOKUP($C296,CapRate,26),10)</f>
        <v>139.421088904204</v>
      </c>
      <c r="BK296" s="75">
        <f t="shared" si="58"/>
        <v>3.7304276956826143E-2</v>
      </c>
      <c r="BL296" s="76"/>
      <c r="BM296" s="219">
        <f>BK296</f>
        <v>3.7304276956826143E-2</v>
      </c>
      <c r="BN296" s="220"/>
      <c r="BO296" s="220"/>
      <c r="BP296" s="220"/>
    </row>
    <row r="297" spans="1:68" ht="15.9" customHeight="1">
      <c r="A297" s="8"/>
      <c r="B297" s="22"/>
      <c r="C297" s="8" t="s">
        <v>147</v>
      </c>
      <c r="D297" s="23"/>
      <c r="E297" s="8" t="s">
        <v>85</v>
      </c>
      <c r="F297" s="188">
        <f>[1]AcreSummary!L87</f>
        <v>0.43635711990630688</v>
      </c>
      <c r="G297" s="25"/>
      <c r="H297" s="117"/>
      <c r="I297" s="57"/>
      <c r="J297" s="58">
        <f>[1]Tame!D54</f>
        <v>13.22</v>
      </c>
      <c r="K297" s="80">
        <f>[1]Tame!E54</f>
        <v>12.91</v>
      </c>
      <c r="L297" s="68">
        <f>[1]Tame!F54</f>
        <v>12.62</v>
      </c>
      <c r="M297" s="58">
        <f>[1]Tame!G54</f>
        <v>12.54</v>
      </c>
      <c r="N297" s="81">
        <f>[1]Tame!H54</f>
        <v>12.33</v>
      </c>
      <c r="O297" s="62">
        <v>12.46</v>
      </c>
      <c r="P297" s="81">
        <f>[1]Tame!I54</f>
        <v>12.04</v>
      </c>
      <c r="Q297" s="82">
        <f>[1]Tame!J54</f>
        <v>11.76</v>
      </c>
      <c r="R297" s="83">
        <v>11.97</v>
      </c>
      <c r="S297" s="84">
        <f>[1]Tame!K54</f>
        <v>11.5</v>
      </c>
      <c r="T297" s="66">
        <f>[1]Tame!L54</f>
        <v>11.21</v>
      </c>
      <c r="U297" s="67">
        <f>[1]Tame!M54</f>
        <v>11.41</v>
      </c>
      <c r="V297" s="68">
        <f>[1]Tame!N54</f>
        <v>3.88</v>
      </c>
      <c r="W297" s="68">
        <f>[1]Tame!O54</f>
        <v>3.07</v>
      </c>
      <c r="X297" s="68">
        <v>3.05</v>
      </c>
      <c r="Y297" s="68">
        <v>3.01</v>
      </c>
      <c r="Z297" s="68">
        <v>5.04</v>
      </c>
      <c r="AA297" s="68">
        <v>7.41</v>
      </c>
      <c r="AB297" s="68">
        <v>9.52</v>
      </c>
      <c r="AC297" s="68">
        <v>0</v>
      </c>
      <c r="AD297" s="68">
        <v>13.15</v>
      </c>
      <c r="AE297" s="68">
        <v>14.96</v>
      </c>
      <c r="AF297" s="68">
        <v>15.92</v>
      </c>
      <c r="AG297" s="69">
        <v>16.96</v>
      </c>
      <c r="AH297" s="70">
        <v>17.55</v>
      </c>
      <c r="AI297" s="70">
        <v>18.45</v>
      </c>
      <c r="AJ297" s="70">
        <v>19.3</v>
      </c>
      <c r="AK297" s="8">
        <f>ROUND(J297/VLOOKUP($C297,CapRate,2),0)</f>
        <v>85</v>
      </c>
      <c r="AL297" s="8">
        <f>ROUND(K297/VLOOKUP($C297,CapRate,3),0)</f>
        <v>84</v>
      </c>
      <c r="AM297" s="85">
        <f>ROUND(L297/VLOOKUP($C297,CapRate,4),0)</f>
        <v>81</v>
      </c>
      <c r="AN297" s="23">
        <f>ROUND(M297/VLOOKUP($C297,CapRate,5),0)</f>
        <v>83</v>
      </c>
      <c r="AO297" s="85">
        <f t="shared" si="53"/>
        <v>85</v>
      </c>
      <c r="AP297" s="72">
        <f t="shared" si="54"/>
        <v>84</v>
      </c>
      <c r="AQ297" s="71">
        <f t="shared" si="55"/>
        <v>82</v>
      </c>
      <c r="AR297" s="71">
        <f t="shared" si="55"/>
        <v>83</v>
      </c>
      <c r="AS297" s="71">
        <f t="shared" si="59"/>
        <v>80</v>
      </c>
      <c r="AT297" s="71">
        <f t="shared" si="60"/>
        <v>78</v>
      </c>
      <c r="AU297" s="71">
        <f t="shared" si="57"/>
        <v>80</v>
      </c>
      <c r="AV297" s="72">
        <f>IF(ROUND(V297/VLOOKUP($C297,CapRate,12),0)&gt;AV296,V297/VLOOKUP($C297,CapRate,12),AV296)</f>
        <v>67</v>
      </c>
      <c r="AW297" s="72">
        <f>IF(ROUND(W297/VLOOKUP($C297,CapRate,13),0)&gt;AW296,W297/VLOOKUP($C297,CapRate,13),AW296)</f>
        <v>61</v>
      </c>
      <c r="AX297" s="72">
        <f>IF(ROUND(X297/VLOOKUP($C297,CapRate,14),0)&gt;AX296,X297/VLOOKUP($C297,CapRate,14),AX296)</f>
        <v>61.103448275862071</v>
      </c>
      <c r="AY297" s="72">
        <f>IF(ROUND(Y297/VLOOKUP($C297,CapRate,15),0)&gt;AY296,Y297/VLOOKUP($C297,CapRate,15),AY296)</f>
        <v>60.714285714285708</v>
      </c>
      <c r="AZ297" s="72">
        <f>IF(ROUND(Z297/VLOOKUP($C297,CapRate,16),0)&gt;AZ296,Z297/VLOOKUP($C297,CapRate,16),AZ296)</f>
        <v>69.341563786008223</v>
      </c>
      <c r="BA297" s="72">
        <f>IF(ROUND(AA297/VLOOKUP($C297,CapRate,17),0)&gt;BA296,AA297/VLOOKUP($C297,CapRate,17),BA296)</f>
        <v>78.932968536251707</v>
      </c>
      <c r="BB297" s="72">
        <f>IF(ROUND(AB297/VLOOKUP($C297,CapRate,18),0)&gt;BB296,AB297/VLOOKUP($C297,CapRate,18),BB296)</f>
        <v>86.289222373806268</v>
      </c>
      <c r="BC297" s="72">
        <f>IF(ROUND(AC297/VLOOKUP($C297,CapRate,19),0)&gt;BC296,AC297/VLOOKUP($C297,CapRate,19),BC296)</f>
        <v>95.374149659863946</v>
      </c>
      <c r="BD297" s="72">
        <f>IF(ROUND(AD297/VLOOKUP($C297,CapRate,20),0)&gt;BD296,AD297/VLOOKUP($C297,CapRate,20),BD296)</f>
        <v>107.1380013596193</v>
      </c>
      <c r="BE297" s="72">
        <f>IF(ROUND(AE297/VLOOKUP($C297,CapRate,21),0)&gt;BE296,AE297/VLOOKUP($C297,CapRate,21),BE296)</f>
        <v>115.4421768707483</v>
      </c>
      <c r="BF297" s="72">
        <f>IF(ROUND(AF297/VLOOKUP($C297,CapRate,22),0)&gt;BF296,AF297/VLOOKUP($C297,CapRate,22),BF296)</f>
        <v>121.79836512261579</v>
      </c>
      <c r="BG297" s="72">
        <f>IF(ROUND(AG297/VLOOKUP($C297,CapRate,23),0)&gt;BG296,AG297/VLOOKUP($C297,CapRate,23),BG296)</f>
        <v>127.44027303754268</v>
      </c>
      <c r="BH297" s="72">
        <f>IF(ROUND(AH297/VLOOKUP($C297,CapRate,24),0)&gt;BH296,AH297/VLOOKUP($C297,CapRate,24),BH296)</f>
        <v>133.5841313269494</v>
      </c>
      <c r="BI297" s="72">
        <f>IF(ROUND(AI297/VLOOKUP($C297,CapRate,25),0)&gt;BI296,AI297/VLOOKUP($C297,CapRate,25),BI296)</f>
        <v>134.40712816997944</v>
      </c>
      <c r="BJ297" s="72">
        <f>IF(ROUND(AJ297/VLOOKUP($C297,CapRate,26),0)&gt;BJ296,AJ297/VLOOKUP($C297,CapRate,26),BJ296)</f>
        <v>139.421088904204</v>
      </c>
      <c r="BK297" s="87">
        <f t="shared" si="58"/>
        <v>3.7304276956826143E-2</v>
      </c>
      <c r="BL297" s="76"/>
      <c r="BM297" s="77"/>
      <c r="BN297" s="77"/>
      <c r="BO297" s="77"/>
      <c r="BP297" s="77">
        <f>BK297</f>
        <v>3.7304276956826143E-2</v>
      </c>
    </row>
    <row r="298" spans="1:68" ht="15.9" customHeight="1" thickBot="1">
      <c r="A298" s="8" t="s">
        <v>138</v>
      </c>
      <c r="B298" s="22"/>
      <c r="C298" s="90" t="s">
        <v>147</v>
      </c>
      <c r="D298" s="91"/>
      <c r="E298" s="90" t="s">
        <v>40</v>
      </c>
      <c r="F298" s="190">
        <f>[1]AcreSummary!J87</f>
        <v>0.36381181190620598</v>
      </c>
      <c r="G298" s="191"/>
      <c r="H298" s="94"/>
      <c r="I298" s="95">
        <f>[1]Dry!E87</f>
        <v>33.03</v>
      </c>
      <c r="J298" s="96">
        <f>[1]Dry!F87</f>
        <v>32.61</v>
      </c>
      <c r="K298" s="97">
        <f>[1]Dry!G87</f>
        <v>33.549999999999997</v>
      </c>
      <c r="L298" s="98">
        <f>[1]Dry!H87</f>
        <v>34.64</v>
      </c>
      <c r="M298" s="96">
        <f>[1]Dry!I87</f>
        <v>35.97</v>
      </c>
      <c r="N298" s="99">
        <f>[1]Dry!J87</f>
        <v>37.5</v>
      </c>
      <c r="O298" s="100">
        <v>33.950000000000003</v>
      </c>
      <c r="P298" s="99">
        <f>[1]Dry!K87</f>
        <v>37.6</v>
      </c>
      <c r="Q298" s="101">
        <f>[1]Dry!L87</f>
        <v>37.79</v>
      </c>
      <c r="R298" s="221">
        <f>Q298*0.95</f>
        <v>35.900500000000001</v>
      </c>
      <c r="S298" s="103">
        <f>[1]Dry!N87</f>
        <v>36.08</v>
      </c>
      <c r="T298" s="104">
        <f>[1]Dry!O87</f>
        <v>35.06</v>
      </c>
      <c r="U298" s="105">
        <f>[1]Dry!P87</f>
        <v>33.270000000000003</v>
      </c>
      <c r="V298" s="98">
        <f>[1]Dry!Q87</f>
        <v>28.44</v>
      </c>
      <c r="W298" s="98">
        <f>[1]Dry!R87</f>
        <v>32.979999999999997</v>
      </c>
      <c r="X298" s="98">
        <f>[1]Dry!S87</f>
        <v>38.200000000000003</v>
      </c>
      <c r="Y298" s="98">
        <f>[1]Dry!T87</f>
        <v>43.13</v>
      </c>
      <c r="Z298" s="98">
        <v>48.29</v>
      </c>
      <c r="AA298" s="98">
        <v>54.99</v>
      </c>
      <c r="AB298" s="98">
        <v>59.16</v>
      </c>
      <c r="AC298" s="98">
        <v>62.13</v>
      </c>
      <c r="AD298" s="98">
        <v>62.81</v>
      </c>
      <c r="AE298" s="98">
        <v>61.94</v>
      </c>
      <c r="AF298" s="98">
        <v>63.83</v>
      </c>
      <c r="AG298" s="106">
        <v>66.72</v>
      </c>
      <c r="AH298" s="107">
        <v>65.569999999999993</v>
      </c>
      <c r="AI298" s="107">
        <v>58.64</v>
      </c>
      <c r="AJ298" s="107">
        <v>56.46</v>
      </c>
      <c r="AK298" s="90">
        <f t="shared" si="49"/>
        <v>211</v>
      </c>
      <c r="AL298" s="90">
        <f t="shared" si="50"/>
        <v>219</v>
      </c>
      <c r="AM298" s="108">
        <f t="shared" si="51"/>
        <v>223</v>
      </c>
      <c r="AN298" s="91">
        <f t="shared" si="52"/>
        <v>237</v>
      </c>
      <c r="AO298" s="108">
        <f t="shared" si="53"/>
        <v>233</v>
      </c>
      <c r="AP298" s="109">
        <f t="shared" si="54"/>
        <v>261</v>
      </c>
      <c r="AQ298" s="110">
        <f t="shared" si="55"/>
        <v>262</v>
      </c>
      <c r="AR298" s="222">
        <f t="shared" si="55"/>
        <v>249</v>
      </c>
      <c r="AS298" s="110">
        <f t="shared" si="59"/>
        <v>251</v>
      </c>
      <c r="AT298" s="110">
        <f t="shared" si="60"/>
        <v>245</v>
      </c>
      <c r="AU298" s="110">
        <f t="shared" si="57"/>
        <v>233</v>
      </c>
      <c r="AV298" s="109">
        <f t="shared" si="56"/>
        <v>197</v>
      </c>
      <c r="AW298" s="109">
        <f>ROUND(W298/VLOOKUP($C298,CapRate,13),0)</f>
        <v>228</v>
      </c>
      <c r="AX298" s="72">
        <f>ROUND(X298/VLOOKUP($C298,CapRate,14),0)</f>
        <v>263</v>
      </c>
      <c r="AY298" s="72">
        <f>ROUND(Y298/VLOOKUP($C298,CapRate,15),0)</f>
        <v>296</v>
      </c>
      <c r="AZ298" s="72">
        <f>ROUND(Z298/VLOOKUP($C298,CapRate,16),0)</f>
        <v>331</v>
      </c>
      <c r="BA298" s="72">
        <f>ROUND(AA298/VLOOKUP($C298,CapRate,17),0)</f>
        <v>376</v>
      </c>
      <c r="BB298" s="72">
        <f>ROUND(AB298/VLOOKUP($C298,CapRate,18),0)</f>
        <v>404</v>
      </c>
      <c r="BC298" s="72">
        <f>ROUND(AC298/VLOOKUP($C298,CapRate,19),0)</f>
        <v>423</v>
      </c>
      <c r="BD298" s="72">
        <f>ROUND(AD298/VLOOKUP($C298,CapRate,20),0)</f>
        <v>427</v>
      </c>
      <c r="BE298" s="72">
        <f>ROUND(AE298/VLOOKUP($C298,CapRate,21),0)</f>
        <v>421</v>
      </c>
      <c r="BF298" s="72">
        <f>ROUND(AF298/VLOOKUP($C298,CapRate,22),0)</f>
        <v>435</v>
      </c>
      <c r="BG298" s="72">
        <f>ROUND(AG298/VLOOKUP($C298,CapRate,23),0)</f>
        <v>455</v>
      </c>
      <c r="BH298" s="72">
        <f>ROUND(AH298/VLOOKUP($C298,CapRate,24),0)</f>
        <v>448</v>
      </c>
      <c r="BI298" s="72">
        <f>ROUND(AI298/VLOOKUP($C298,CapRate,25),0)</f>
        <v>402</v>
      </c>
      <c r="BJ298" s="72">
        <f>ROUND(AJ298/VLOOKUP($C298,CapRate,26),0)</f>
        <v>389</v>
      </c>
      <c r="BK298" s="87">
        <f t="shared" si="58"/>
        <v>-3.2338308457711462E-2</v>
      </c>
      <c r="BL298" s="114">
        <f>((F296*BK296)+(F297*BK297)+(F298*BK298))</f>
        <v>1.1654660230958663E-2</v>
      </c>
      <c r="BM298" s="226"/>
      <c r="BN298" s="227">
        <f>BK298</f>
        <v>-3.2338308457711462E-2</v>
      </c>
      <c r="BO298" s="227"/>
      <c r="BP298" s="227"/>
    </row>
    <row r="299" spans="1:68" ht="15.9" customHeight="1" thickTop="1">
      <c r="A299" s="8" t="s">
        <v>138</v>
      </c>
      <c r="B299" s="22"/>
      <c r="C299" s="8" t="s">
        <v>148</v>
      </c>
      <c r="D299" s="23" t="s">
        <v>148</v>
      </c>
      <c r="E299" s="8" t="s">
        <v>39</v>
      </c>
      <c r="F299" s="188">
        <f>[1]AcreSummary!M88</f>
        <v>0.4804158782543772</v>
      </c>
      <c r="G299" s="25"/>
      <c r="H299" s="117"/>
      <c r="I299" s="57">
        <f>[1]Native!E86</f>
        <v>9.26</v>
      </c>
      <c r="J299" s="58">
        <f>[1]Native!F86</f>
        <v>9.1199999999999992</v>
      </c>
      <c r="K299" s="80">
        <f>[1]Native!G86</f>
        <v>9.51</v>
      </c>
      <c r="L299" s="68">
        <f>[1]Native!H86</f>
        <v>9.7799999999999994</v>
      </c>
      <c r="M299" s="58">
        <f>[1]Native!I86</f>
        <v>10.3</v>
      </c>
      <c r="N299" s="81">
        <f>[1]Native!J86</f>
        <v>10.87</v>
      </c>
      <c r="O299" s="62">
        <v>8.6999999999999993</v>
      </c>
      <c r="P299" s="81">
        <f>[1]Native!K86</f>
        <v>11.37</v>
      </c>
      <c r="Q299" s="82">
        <f>[1]Native!L86</f>
        <v>11.74</v>
      </c>
      <c r="R299" s="83">
        <v>11.74</v>
      </c>
      <c r="S299" s="84">
        <f>[1]Native!M86</f>
        <v>12.11</v>
      </c>
      <c r="T299" s="66">
        <f>[1]Native!N86</f>
        <v>12.45</v>
      </c>
      <c r="U299" s="67">
        <f>[1]Native!O86</f>
        <v>12.52</v>
      </c>
      <c r="V299" s="68">
        <f>[1]Native!P86</f>
        <v>8.41</v>
      </c>
      <c r="W299" s="68">
        <f>[1]Native!Q86</f>
        <v>7.58</v>
      </c>
      <c r="X299" s="68">
        <v>8.16</v>
      </c>
      <c r="Y299" s="68">
        <v>7.94</v>
      </c>
      <c r="Z299" s="68">
        <v>8.99</v>
      </c>
      <c r="AA299" s="68">
        <v>10.199999999999999</v>
      </c>
      <c r="AB299" s="68">
        <v>11.43</v>
      </c>
      <c r="AC299" s="68">
        <v>12.54</v>
      </c>
      <c r="AD299" s="68">
        <v>14.02</v>
      </c>
      <c r="AE299" s="68">
        <v>15.47</v>
      </c>
      <c r="AF299" s="68">
        <v>16.23</v>
      </c>
      <c r="AG299" s="69">
        <v>16.989999999999998</v>
      </c>
      <c r="AH299" s="70">
        <v>17.73</v>
      </c>
      <c r="AI299" s="70">
        <v>17.89</v>
      </c>
      <c r="AJ299" s="70">
        <v>18.47</v>
      </c>
      <c r="AK299" s="8">
        <f t="shared" si="49"/>
        <v>65</v>
      </c>
      <c r="AL299" s="8">
        <f t="shared" si="50"/>
        <v>68</v>
      </c>
      <c r="AM299" s="85">
        <f t="shared" si="51"/>
        <v>69</v>
      </c>
      <c r="AN299" s="23">
        <f t="shared" si="52"/>
        <v>74</v>
      </c>
      <c r="AO299" s="85">
        <f t="shared" si="53"/>
        <v>65</v>
      </c>
      <c r="AP299" s="72">
        <f t="shared" si="54"/>
        <v>85</v>
      </c>
      <c r="AQ299" s="71">
        <f t="shared" si="55"/>
        <v>88</v>
      </c>
      <c r="AR299" s="71">
        <f t="shared" si="55"/>
        <v>88</v>
      </c>
      <c r="AS299" s="71">
        <f t="shared" si="59"/>
        <v>90</v>
      </c>
      <c r="AT299" s="71">
        <f t="shared" si="60"/>
        <v>93</v>
      </c>
      <c r="AU299" s="71">
        <f t="shared" si="57"/>
        <v>93</v>
      </c>
      <c r="AV299" s="72">
        <f t="shared" si="56"/>
        <v>61</v>
      </c>
      <c r="AW299" s="72">
        <f>ROUND(W299/VLOOKUP($C299,CapRate,13),0)</f>
        <v>54</v>
      </c>
      <c r="AX299" s="122">
        <f>IF(ROUND(X299/VLOOKUP($C299,CapRate,14),0)&gt;10,X299/VLOOKUP($C299,CapRate,14),10)</f>
        <v>58.285714285714285</v>
      </c>
      <c r="AY299" s="122">
        <f>IF(ROUND(Y299/VLOOKUP($C299,CapRate,15),0)&gt;10,Y299/VLOOKUP($C299,CapRate,15),10)</f>
        <v>56.03387438249824</v>
      </c>
      <c r="AZ299" s="122">
        <f>IF(ROUND(Z299/VLOOKUP($C299,CapRate,16),0)&gt;10,Z299/VLOOKUP($C299,CapRate,16),10)</f>
        <v>63.265306122448976</v>
      </c>
      <c r="BA299" s="122">
        <f>IF(ROUND(AA299/VLOOKUP($C299,CapRate,17),0)&gt;10,AA299/VLOOKUP($C299,CapRate,17),10)</f>
        <v>71.030640668523674</v>
      </c>
      <c r="BB299" s="122">
        <f>IF(ROUND(AB299/VLOOKUP($C299,CapRate,18),0)&gt;10,AB299/VLOOKUP($C299,CapRate,18),10)</f>
        <v>79.319916724496878</v>
      </c>
      <c r="BC299" s="122">
        <f>IF(ROUND(AC299/VLOOKUP($C299,CapRate,19),0)&gt;10,AC299/VLOOKUP($C299,CapRate,19),10)</f>
        <v>86.782006920415228</v>
      </c>
      <c r="BD299" s="122">
        <f>IF(ROUND(AD299/VLOOKUP($C299,CapRate,20),0)&gt;10,AD299/VLOOKUP($C299,CapRate,20),10)</f>
        <v>96.957123098201933</v>
      </c>
      <c r="BE299" s="122">
        <f>IF(ROUND(AE299/VLOOKUP($C299,CapRate,21),0)&gt;10,AE299/VLOOKUP($C299,CapRate,21),10)</f>
        <v>107.13296398891967</v>
      </c>
      <c r="BF299" s="122">
        <f>IF(ROUND(AF299/VLOOKUP($C299,CapRate,22),0)&gt;10,AF299/VLOOKUP($C299,CapRate,22),10)</f>
        <v>112.63011797362942</v>
      </c>
      <c r="BG299" s="122">
        <f>IF(ROUND(AG299/VLOOKUP($C299,CapRate,23),0)&gt;10,AG299/VLOOKUP($C299,CapRate,23),10)</f>
        <v>118.23242867084203</v>
      </c>
      <c r="BH299" s="122">
        <f>IF(ROUND(AH299/VLOOKUP($C299,CapRate,24),0)&gt;10,AH299/VLOOKUP($C299,CapRate,24),10)</f>
        <v>123.72644801116537</v>
      </c>
      <c r="BI299" s="122">
        <f>IF(ROUND(AI299/VLOOKUP($C299,CapRate,25),0)&gt;10,AI299/VLOOKUP($C299,CapRate,25),10)</f>
        <v>125.45582047685835</v>
      </c>
      <c r="BJ299" s="122">
        <f>IF(ROUND(AJ299/VLOOKUP($C299,CapRate,26),0)&gt;10,AJ299/VLOOKUP($C299,CapRate,26),10)</f>
        <v>130.43785310734461</v>
      </c>
      <c r="BK299" s="75">
        <f t="shared" si="58"/>
        <v>3.971145070471449E-2</v>
      </c>
      <c r="BL299" s="76"/>
      <c r="BM299" s="219">
        <f>BK299</f>
        <v>3.971145070471449E-2</v>
      </c>
      <c r="BN299" s="220"/>
      <c r="BO299" s="220"/>
      <c r="BP299" s="220"/>
    </row>
    <row r="300" spans="1:68" ht="15.9" customHeight="1">
      <c r="A300" s="8"/>
      <c r="B300" s="22"/>
      <c r="C300" s="8" t="s">
        <v>148</v>
      </c>
      <c r="D300" s="23"/>
      <c r="E300" s="8" t="s">
        <v>85</v>
      </c>
      <c r="F300" s="188">
        <f>[1]AcreSummary!L88</f>
        <v>0.21243976332978273</v>
      </c>
      <c r="G300" s="25"/>
      <c r="H300" s="117"/>
      <c r="I300" s="57"/>
      <c r="J300" s="58">
        <f>[1]Tame!D55</f>
        <v>12.5</v>
      </c>
      <c r="K300" s="80">
        <f>[1]Tame!E55</f>
        <v>12.2</v>
      </c>
      <c r="L300" s="68">
        <f>[1]Tame!F55</f>
        <v>11.91</v>
      </c>
      <c r="M300" s="58">
        <f>[1]Tame!G55</f>
        <v>11.82</v>
      </c>
      <c r="N300" s="81">
        <f>[1]Tame!H55</f>
        <v>11.79</v>
      </c>
      <c r="O300" s="62">
        <v>11.99</v>
      </c>
      <c r="P300" s="81">
        <f>[1]Tame!I55</f>
        <v>11.66</v>
      </c>
      <c r="Q300" s="82">
        <f>[1]Tame!J55</f>
        <v>11.7</v>
      </c>
      <c r="R300" s="83">
        <v>11.7</v>
      </c>
      <c r="S300" s="84">
        <f>[1]Tame!K55</f>
        <v>11.59</v>
      </c>
      <c r="T300" s="66">
        <f>[1]Tame!L55</f>
        <v>11.35</v>
      </c>
      <c r="U300" s="67">
        <f>[1]Tame!M55</f>
        <v>11.68</v>
      </c>
      <c r="V300" s="68">
        <f>[1]Tame!N55</f>
        <v>3.91</v>
      </c>
      <c r="W300" s="68">
        <f>[1]Tame!O55</f>
        <v>2.95</v>
      </c>
      <c r="X300" s="68">
        <v>2.79</v>
      </c>
      <c r="Y300" s="68">
        <v>2.62</v>
      </c>
      <c r="Z300" s="68">
        <v>4.55</v>
      </c>
      <c r="AA300" s="68">
        <v>6.79</v>
      </c>
      <c r="AB300" s="68">
        <v>8.81</v>
      </c>
      <c r="AC300" s="68">
        <v>0</v>
      </c>
      <c r="AD300" s="68">
        <v>12.43</v>
      </c>
      <c r="AE300" s="68">
        <v>14.25</v>
      </c>
      <c r="AF300" s="68">
        <v>15.26</v>
      </c>
      <c r="AG300" s="69">
        <v>16.29</v>
      </c>
      <c r="AH300" s="70">
        <v>17.21</v>
      </c>
      <c r="AI300" s="70">
        <v>17.760000000000002</v>
      </c>
      <c r="AJ300" s="70">
        <v>18.600000000000001</v>
      </c>
      <c r="AK300" s="8">
        <f>ROUND(J300/VLOOKUP($C300,CapRate,2),0)</f>
        <v>89</v>
      </c>
      <c r="AL300" s="8">
        <f>ROUND(K300/VLOOKUP($C300,CapRate,3),0)</f>
        <v>87</v>
      </c>
      <c r="AM300" s="85">
        <f>ROUND(L300/VLOOKUP($C300,CapRate,4),0)</f>
        <v>84</v>
      </c>
      <c r="AN300" s="23">
        <f>ROUND(M300/VLOOKUP($C300,CapRate,5),0)</f>
        <v>84</v>
      </c>
      <c r="AO300" s="85">
        <f t="shared" si="53"/>
        <v>89</v>
      </c>
      <c r="AP300" s="72">
        <f t="shared" si="54"/>
        <v>88</v>
      </c>
      <c r="AQ300" s="71">
        <f t="shared" si="55"/>
        <v>87</v>
      </c>
      <c r="AR300" s="71">
        <f t="shared" si="55"/>
        <v>87</v>
      </c>
      <c r="AS300" s="71">
        <f t="shared" si="59"/>
        <v>86</v>
      </c>
      <c r="AT300" s="71">
        <f t="shared" si="60"/>
        <v>85</v>
      </c>
      <c r="AU300" s="71">
        <f t="shared" si="57"/>
        <v>87</v>
      </c>
      <c r="AV300" s="72">
        <f>IF(ROUND(V300/VLOOKUP($C300,CapRate,12),0)&gt;AV299,V300/VLOOKUP($C300,CapRate,12),AV299)</f>
        <v>61</v>
      </c>
      <c r="AW300" s="72">
        <f>IF(ROUND(W300/VLOOKUP($C300,CapRate,13),0)&gt;AW299,W300/VLOOKUP($C300,CapRate,13),AW299)</f>
        <v>54</v>
      </c>
      <c r="AX300" s="72">
        <f>IF(ROUND(X300/VLOOKUP($C300,CapRate,14),0)&gt;AX299,X300/VLOOKUP($C300,CapRate,14),AX299)</f>
        <v>58.285714285714285</v>
      </c>
      <c r="AY300" s="72">
        <f>IF(ROUND(Y300/VLOOKUP($C300,CapRate,15),0)&gt;AY299,Y300/VLOOKUP($C300,CapRate,15),AY299)</f>
        <v>56.03387438249824</v>
      </c>
      <c r="AZ300" s="72">
        <f>IF(ROUND(Z300/VLOOKUP($C300,CapRate,16),0)&gt;AZ299,Z300/VLOOKUP($C300,CapRate,16),AZ299)</f>
        <v>63.265306122448976</v>
      </c>
      <c r="BA300" s="72">
        <f>IF(ROUND(AA300/VLOOKUP($C300,CapRate,17),0)&gt;BA299,AA300/VLOOKUP($C300,CapRate,17),BA299)</f>
        <v>71.030640668523674</v>
      </c>
      <c r="BB300" s="72">
        <f>IF(ROUND(AB300/VLOOKUP($C300,CapRate,18),0)&gt;BB299,AB300/VLOOKUP($C300,CapRate,18),BB299)</f>
        <v>79.319916724496878</v>
      </c>
      <c r="BC300" s="72">
        <f>IF(ROUND(AC300/VLOOKUP($C300,CapRate,19),0)&gt;BC299,AC300/VLOOKUP($C300,CapRate,19),BC299)</f>
        <v>86.782006920415228</v>
      </c>
      <c r="BD300" s="72">
        <f>IF(ROUND(AD300/VLOOKUP($C300,CapRate,20),0)&gt;BD299,AD300/VLOOKUP($C300,CapRate,20),BD299)</f>
        <v>96.957123098201933</v>
      </c>
      <c r="BE300" s="72">
        <f>IF(ROUND(AE300/VLOOKUP($C300,CapRate,21),0)&gt;BE299,AE300/VLOOKUP($C300,CapRate,21),BE299)</f>
        <v>107.13296398891967</v>
      </c>
      <c r="BF300" s="72">
        <f>IF(ROUND(AF300/VLOOKUP($C300,CapRate,22),0)&gt;BF299,AF300/VLOOKUP($C300,CapRate,22),BF299)</f>
        <v>112.63011797362942</v>
      </c>
      <c r="BG300" s="72">
        <f>IF(ROUND(AG300/VLOOKUP($C300,CapRate,23),0)&gt;BG299,AG300/VLOOKUP($C300,CapRate,23),BG299)</f>
        <v>118.23242867084203</v>
      </c>
      <c r="BH300" s="72">
        <f>IF(ROUND(AH300/VLOOKUP($C300,CapRate,24),0)&gt;BH299,AH300/VLOOKUP($C300,CapRate,24),BH299)</f>
        <v>123.72644801116537</v>
      </c>
      <c r="BI300" s="72">
        <f>IF(ROUND(AI300/VLOOKUP($C300,CapRate,25),0)&gt;BI299,AI300/VLOOKUP($C300,CapRate,25),BI299)</f>
        <v>125.45582047685835</v>
      </c>
      <c r="BJ300" s="72">
        <f>IF(ROUND(AJ300/VLOOKUP($C300,CapRate,26),0)&gt;BJ299,AJ300/VLOOKUP($C300,CapRate,26),BJ299)</f>
        <v>131.35593220338984</v>
      </c>
      <c r="BK300" s="87">
        <f t="shared" si="58"/>
        <v>4.7029398110865817E-2</v>
      </c>
      <c r="BL300" s="76"/>
      <c r="BM300" s="77"/>
      <c r="BN300" s="77"/>
      <c r="BO300" s="77"/>
      <c r="BP300" s="77">
        <f>BK300</f>
        <v>4.7029398110865817E-2</v>
      </c>
    </row>
    <row r="301" spans="1:68" ht="15.9" customHeight="1" thickBot="1">
      <c r="A301" s="8" t="s">
        <v>138</v>
      </c>
      <c r="B301" s="22"/>
      <c r="C301" s="90" t="s">
        <v>148</v>
      </c>
      <c r="D301" s="91"/>
      <c r="E301" s="90" t="s">
        <v>40</v>
      </c>
      <c r="F301" s="190">
        <f>[1]AcreSummary!J88</f>
        <v>0.30497784521333088</v>
      </c>
      <c r="G301" s="191"/>
      <c r="H301" s="94"/>
      <c r="I301" s="95">
        <f>[1]Dry!E88</f>
        <v>27.12</v>
      </c>
      <c r="J301" s="96">
        <f>[1]Dry!F88</f>
        <v>27.14</v>
      </c>
      <c r="K301" s="97">
        <f>[1]Dry!G88</f>
        <v>27.68</v>
      </c>
      <c r="L301" s="98">
        <f>[1]Dry!H88</f>
        <v>28.53</v>
      </c>
      <c r="M301" s="96">
        <f>[1]Dry!I88</f>
        <v>29.65</v>
      </c>
      <c r="N301" s="99">
        <f>[1]Dry!J88</f>
        <v>30.84</v>
      </c>
      <c r="O301" s="100">
        <v>30.47</v>
      </c>
      <c r="P301" s="99">
        <f>[1]Dry!K88</f>
        <v>30.74</v>
      </c>
      <c r="Q301" s="101">
        <f>[1]Dry!L88</f>
        <v>30.74</v>
      </c>
      <c r="R301" s="221">
        <f>Q301*0.95</f>
        <v>29.202999999999996</v>
      </c>
      <c r="S301" s="103">
        <f>[1]Dry!N88</f>
        <v>29.71</v>
      </c>
      <c r="T301" s="104">
        <f>[1]Dry!O88</f>
        <v>28.62</v>
      </c>
      <c r="U301" s="105">
        <f>[1]Dry!P88</f>
        <v>26.92</v>
      </c>
      <c r="V301" s="98">
        <f>[1]Dry!Q88</f>
        <v>21.11</v>
      </c>
      <c r="W301" s="98">
        <f>[1]Dry!R88</f>
        <v>25.02</v>
      </c>
      <c r="X301" s="98">
        <f>[1]Dry!S88</f>
        <v>29.18</v>
      </c>
      <c r="Y301" s="98">
        <f>[1]Dry!T88</f>
        <v>33.36</v>
      </c>
      <c r="Z301" s="98">
        <v>37.82</v>
      </c>
      <c r="AA301" s="98">
        <v>43.8</v>
      </c>
      <c r="AB301" s="98">
        <v>47.29</v>
      </c>
      <c r="AC301" s="98">
        <v>49.7</v>
      </c>
      <c r="AD301" s="98">
        <v>50.49</v>
      </c>
      <c r="AE301" s="98">
        <v>49.25</v>
      </c>
      <c r="AF301" s="98">
        <v>50.95</v>
      </c>
      <c r="AG301" s="106">
        <v>53.31</v>
      </c>
      <c r="AH301" s="107">
        <v>51.95</v>
      </c>
      <c r="AI301" s="107">
        <v>44.36</v>
      </c>
      <c r="AJ301" s="107">
        <v>41.47</v>
      </c>
      <c r="AK301" s="90">
        <f t="shared" si="49"/>
        <v>194</v>
      </c>
      <c r="AL301" s="90">
        <f t="shared" si="50"/>
        <v>197</v>
      </c>
      <c r="AM301" s="108">
        <f t="shared" si="51"/>
        <v>200</v>
      </c>
      <c r="AN301" s="91">
        <f t="shared" si="52"/>
        <v>212</v>
      </c>
      <c r="AO301" s="108">
        <f t="shared" si="53"/>
        <v>226</v>
      </c>
      <c r="AP301" s="109">
        <f t="shared" si="54"/>
        <v>231</v>
      </c>
      <c r="AQ301" s="110">
        <f t="shared" si="55"/>
        <v>230</v>
      </c>
      <c r="AR301" s="222">
        <f t="shared" si="55"/>
        <v>218</v>
      </c>
      <c r="AS301" s="110">
        <f t="shared" si="59"/>
        <v>221</v>
      </c>
      <c r="AT301" s="110">
        <f t="shared" si="60"/>
        <v>213</v>
      </c>
      <c r="AU301" s="110">
        <f t="shared" si="57"/>
        <v>200</v>
      </c>
      <c r="AV301" s="109">
        <f t="shared" si="56"/>
        <v>153</v>
      </c>
      <c r="AW301" s="109">
        <f>ROUND(W301/VLOOKUP($C301,CapRate,13),0)</f>
        <v>179</v>
      </c>
      <c r="AX301" s="72">
        <f>ROUND(X301/VLOOKUP($C301,CapRate,14),0)</f>
        <v>208</v>
      </c>
      <c r="AY301" s="72">
        <f>ROUND(Y301/VLOOKUP($C301,CapRate,15),0)</f>
        <v>235</v>
      </c>
      <c r="AZ301" s="72">
        <f>ROUND(Z301/VLOOKUP($C301,CapRate,16),0)</f>
        <v>266</v>
      </c>
      <c r="BA301" s="72">
        <f>ROUND(AA301/VLOOKUP($C301,CapRate,17),0)</f>
        <v>305</v>
      </c>
      <c r="BB301" s="72">
        <f>ROUND(AB301/VLOOKUP($C301,CapRate,18),0)</f>
        <v>328</v>
      </c>
      <c r="BC301" s="72">
        <f>ROUND(AC301/VLOOKUP($C301,CapRate,19),0)</f>
        <v>344</v>
      </c>
      <c r="BD301" s="72">
        <f>ROUND(AD301/VLOOKUP($C301,CapRate,20),0)</f>
        <v>349</v>
      </c>
      <c r="BE301" s="72">
        <f>ROUND(AE301/VLOOKUP($C301,CapRate,21),0)</f>
        <v>341</v>
      </c>
      <c r="BF301" s="72">
        <f>ROUND(AF301/VLOOKUP($C301,CapRate,22),0)</f>
        <v>354</v>
      </c>
      <c r="BG301" s="72">
        <f>ROUND(AG301/VLOOKUP($C301,CapRate,23),0)</f>
        <v>371</v>
      </c>
      <c r="BH301" s="72">
        <f>ROUND(AH301/VLOOKUP($C301,CapRate,24),0)</f>
        <v>363</v>
      </c>
      <c r="BI301" s="72">
        <f>ROUND(AI301/VLOOKUP($C301,CapRate,25),0)</f>
        <v>311</v>
      </c>
      <c r="BJ301" s="72">
        <f>ROUND(AJ301/VLOOKUP($C301,CapRate,26),0)</f>
        <v>293</v>
      </c>
      <c r="BK301" s="87">
        <f t="shared" si="58"/>
        <v>-5.7877813504823128E-2</v>
      </c>
      <c r="BL301" s="114">
        <f>((F299*BK299)+(F300*BK300)+(F301*BK301))</f>
        <v>1.1417474822915306E-2</v>
      </c>
      <c r="BM301" s="226"/>
      <c r="BN301" s="227">
        <f>BK301</f>
        <v>-5.7877813504823128E-2</v>
      </c>
      <c r="BO301" s="227"/>
      <c r="BP301" s="227"/>
    </row>
    <row r="302" spans="1:68" ht="15.9" customHeight="1" thickTop="1">
      <c r="A302" s="8" t="s">
        <v>138</v>
      </c>
      <c r="B302" s="22"/>
      <c r="C302" s="8" t="s">
        <v>149</v>
      </c>
      <c r="D302" s="23" t="s">
        <v>149</v>
      </c>
      <c r="E302" s="8" t="s">
        <v>39</v>
      </c>
      <c r="F302" s="188">
        <f>[1]AcreSummary!M89</f>
        <v>0.64790290857309196</v>
      </c>
      <c r="G302" s="25"/>
      <c r="H302" s="117"/>
      <c r="I302" s="57">
        <f>[1]Native!E87</f>
        <v>8.93</v>
      </c>
      <c r="J302" s="58">
        <f>[1]Native!F87</f>
        <v>9.44</v>
      </c>
      <c r="K302" s="80">
        <f>[1]Native!G87</f>
        <v>9.68</v>
      </c>
      <c r="L302" s="68">
        <f>[1]Native!H87</f>
        <v>9.84</v>
      </c>
      <c r="M302" s="58">
        <f>[1]Native!I87</f>
        <v>10.23</v>
      </c>
      <c r="N302" s="81">
        <f>[1]Native!J87</f>
        <v>10.67</v>
      </c>
      <c r="O302" s="62">
        <v>10.17</v>
      </c>
      <c r="P302" s="81">
        <f>[1]Native!K87</f>
        <v>11.05</v>
      </c>
      <c r="Q302" s="82">
        <f>[1]Native!L87</f>
        <v>11.29</v>
      </c>
      <c r="R302" s="83">
        <v>11.29</v>
      </c>
      <c r="S302" s="84">
        <f>[1]Native!M87</f>
        <v>11.48</v>
      </c>
      <c r="T302" s="66">
        <f>[1]Native!N87</f>
        <v>11.68</v>
      </c>
      <c r="U302" s="67">
        <f>[1]Native!O87</f>
        <v>11.74</v>
      </c>
      <c r="V302" s="68">
        <f>[1]Native!P87</f>
        <v>7.73</v>
      </c>
      <c r="W302" s="68">
        <f>[1]Native!Q87</f>
        <v>6.99</v>
      </c>
      <c r="X302" s="68">
        <v>6.98</v>
      </c>
      <c r="Y302" s="68">
        <v>6.96</v>
      </c>
      <c r="Z302" s="68">
        <v>8.2100000000000009</v>
      </c>
      <c r="AA302" s="68">
        <v>9.6300000000000008</v>
      </c>
      <c r="AB302" s="68">
        <v>10.7</v>
      </c>
      <c r="AC302" s="68">
        <v>11.81</v>
      </c>
      <c r="AD302" s="68">
        <v>13.43</v>
      </c>
      <c r="AE302" s="68">
        <v>14.91</v>
      </c>
      <c r="AF302" s="68">
        <v>15.91</v>
      </c>
      <c r="AG302" s="69">
        <v>16.670000000000002</v>
      </c>
      <c r="AH302" s="70">
        <v>17.41</v>
      </c>
      <c r="AI302" s="70">
        <v>17.559999999999999</v>
      </c>
      <c r="AJ302" s="70">
        <v>18.14</v>
      </c>
      <c r="AK302" s="8">
        <f t="shared" si="49"/>
        <v>63</v>
      </c>
      <c r="AL302" s="8">
        <f t="shared" si="50"/>
        <v>65</v>
      </c>
      <c r="AM302" s="85">
        <f t="shared" si="51"/>
        <v>65</v>
      </c>
      <c r="AN302" s="23">
        <f t="shared" si="52"/>
        <v>70</v>
      </c>
      <c r="AO302" s="85">
        <f t="shared" si="53"/>
        <v>72</v>
      </c>
      <c r="AP302" s="72">
        <f t="shared" si="54"/>
        <v>80</v>
      </c>
      <c r="AQ302" s="71">
        <f t="shared" si="55"/>
        <v>81</v>
      </c>
      <c r="AR302" s="71">
        <f t="shared" si="55"/>
        <v>81</v>
      </c>
      <c r="AS302" s="71">
        <f t="shared" si="59"/>
        <v>83</v>
      </c>
      <c r="AT302" s="71">
        <f t="shared" si="60"/>
        <v>84</v>
      </c>
      <c r="AU302" s="71">
        <f t="shared" si="57"/>
        <v>84</v>
      </c>
      <c r="AV302" s="72">
        <f t="shared" si="56"/>
        <v>54</v>
      </c>
      <c r="AW302" s="72">
        <f>ROUND(W302/VLOOKUP($C302,CapRate,13),0)</f>
        <v>49</v>
      </c>
      <c r="AX302" s="122">
        <f>IF(ROUND(X302/VLOOKUP($C302,CapRate,14),0)&gt;10,X302/VLOOKUP($C302,CapRate,14),10)</f>
        <v>48.505906879777626</v>
      </c>
      <c r="AY302" s="122">
        <f>IF(ROUND(Y302/VLOOKUP($C302,CapRate,15),0)&gt;10,Y302/VLOOKUP($C302,CapRate,15),10)</f>
        <v>47.96691936595451</v>
      </c>
      <c r="AZ302" s="122">
        <f>IF(ROUND(Z302/VLOOKUP($C302,CapRate,16),0)&gt;10,Z302/VLOOKUP($C302,CapRate,16),10)</f>
        <v>56.542699724517917</v>
      </c>
      <c r="BA302" s="122">
        <f>IF(ROUND(AA302/VLOOKUP($C302,CapRate,17),0)&gt;10,AA302/VLOOKUP($C302,CapRate,17),10)</f>
        <v>66.140109890109898</v>
      </c>
      <c r="BB302" s="122">
        <f>IF(ROUND(AB302/VLOOKUP($C302,CapRate,18),0)&gt;10,AB302/VLOOKUP($C302,CapRate,18),10)</f>
        <v>73.337902673063738</v>
      </c>
      <c r="BC302" s="122">
        <f>IF(ROUND(AC302/VLOOKUP($C302,CapRate,19),0)&gt;10,AC302/VLOOKUP($C302,CapRate,19),10)</f>
        <v>80.724538619275464</v>
      </c>
      <c r="BD302" s="122">
        <f>IF(ROUND(AD302/VLOOKUP($C302,CapRate,20),0)&gt;10,AD302/VLOOKUP($C302,CapRate,20),10)</f>
        <v>91.672354948805463</v>
      </c>
      <c r="BE302" s="122">
        <f>IF(ROUND(AE302/VLOOKUP($C302,CapRate,21),0)&gt;10,AE302/VLOOKUP($C302,CapRate,21),10)</f>
        <v>101.77474402730377</v>
      </c>
      <c r="BF302" s="122">
        <f>IF(ROUND(AF302/VLOOKUP($C302,CapRate,22),0)&gt;10,AF302/VLOOKUP($C302,CapRate,22),10)</f>
        <v>108.82352941176471</v>
      </c>
      <c r="BG302" s="122">
        <f>IF(ROUND(AG302/VLOOKUP($C302,CapRate,23),0)&gt;10,AG302/VLOOKUP($C302,CapRate,23),10)</f>
        <v>114.64924346629988</v>
      </c>
      <c r="BH302" s="122">
        <f>IF(ROUND(AH302/VLOOKUP($C302,CapRate,24),0)&gt;10,AH302/VLOOKUP($C302,CapRate,24),10)</f>
        <v>119.90358126721763</v>
      </c>
      <c r="BI302" s="122">
        <f>IF(ROUND(AI302/VLOOKUP($C302,CapRate,25),0)&gt;10,AI302/VLOOKUP($C302,CapRate,25),10)</f>
        <v>121.01998621640247</v>
      </c>
      <c r="BJ302" s="122">
        <f>IF(ROUND(AJ302/VLOOKUP($C302,CapRate,26),0)&gt;10,AJ302/VLOOKUP($C302,CapRate,26),10)</f>
        <v>125.18978605935128</v>
      </c>
      <c r="BK302" s="75">
        <f t="shared" si="58"/>
        <v>3.4455464533705626E-2</v>
      </c>
      <c r="BL302" s="76"/>
      <c r="BM302" s="219">
        <f>BK302</f>
        <v>3.4455464533705626E-2</v>
      </c>
      <c r="BN302" s="220"/>
      <c r="BO302" s="220"/>
      <c r="BP302" s="220"/>
    </row>
    <row r="303" spans="1:68" ht="15.9" customHeight="1">
      <c r="A303" s="8"/>
      <c r="B303" s="22"/>
      <c r="C303" s="8" t="s">
        <v>149</v>
      </c>
      <c r="D303" s="23"/>
      <c r="E303" s="8" t="s">
        <v>85</v>
      </c>
      <c r="F303" s="188">
        <f>[1]AcreSummary!L89</f>
        <v>7.2920138151321326E-2</v>
      </c>
      <c r="G303" s="25"/>
      <c r="H303" s="117"/>
      <c r="I303" s="57"/>
      <c r="J303" s="58">
        <f>[1]Tame!D56</f>
        <v>12.38</v>
      </c>
      <c r="K303" s="80">
        <f>[1]Tame!E56</f>
        <v>12.02</v>
      </c>
      <c r="L303" s="68">
        <f>[1]Tame!F56</f>
        <v>11.65</v>
      </c>
      <c r="M303" s="58">
        <f>[1]Tame!G56</f>
        <v>11.49</v>
      </c>
      <c r="N303" s="81">
        <f>[1]Tame!H56</f>
        <v>11.28</v>
      </c>
      <c r="O303" s="62">
        <v>10.69</v>
      </c>
      <c r="P303" s="81">
        <f>[1]Tame!I56</f>
        <v>11</v>
      </c>
      <c r="Q303" s="82">
        <f>[1]Tame!J56</f>
        <v>10.95</v>
      </c>
      <c r="R303" s="83">
        <v>10.95</v>
      </c>
      <c r="S303" s="84">
        <f>[1]Tame!K56</f>
        <v>10.71</v>
      </c>
      <c r="T303" s="66">
        <f>[1]Tame!L56</f>
        <v>10.220000000000001</v>
      </c>
      <c r="U303" s="67">
        <f>[1]Tame!M56</f>
        <v>10.48</v>
      </c>
      <c r="V303" s="68">
        <f>[1]Tame!N56</f>
        <v>3.2</v>
      </c>
      <c r="W303" s="68">
        <f>[1]Tame!O56</f>
        <v>2.4500000000000002</v>
      </c>
      <c r="X303" s="68">
        <v>2.5099999999999998</v>
      </c>
      <c r="Y303" s="68">
        <v>2.56</v>
      </c>
      <c r="Z303" s="68">
        <v>4.71</v>
      </c>
      <c r="AA303" s="68">
        <v>7.18</v>
      </c>
      <c r="AB303" s="68">
        <v>9.2899999999999991</v>
      </c>
      <c r="AC303" s="68">
        <v>0</v>
      </c>
      <c r="AD303" s="68">
        <v>12.89</v>
      </c>
      <c r="AE303" s="68">
        <v>14.69</v>
      </c>
      <c r="AF303" s="68">
        <v>15.56</v>
      </c>
      <c r="AG303" s="69">
        <v>16.600000000000001</v>
      </c>
      <c r="AH303" s="70">
        <v>17.579999999999998</v>
      </c>
      <c r="AI303" s="70">
        <v>18.07</v>
      </c>
      <c r="AJ303" s="70">
        <v>18.920000000000002</v>
      </c>
      <c r="AK303" s="8">
        <f>ROUND(J303/VLOOKUP($C303,CapRate,2),0)</f>
        <v>83</v>
      </c>
      <c r="AL303" s="8">
        <f>ROUND(K303/VLOOKUP($C303,CapRate,3),0)</f>
        <v>80</v>
      </c>
      <c r="AM303" s="85">
        <f>ROUND(L303/VLOOKUP($C303,CapRate,4),0)</f>
        <v>77</v>
      </c>
      <c r="AN303" s="23">
        <f>ROUND(M303/VLOOKUP($C303,CapRate,5),0)</f>
        <v>78</v>
      </c>
      <c r="AO303" s="85">
        <f t="shared" si="53"/>
        <v>76</v>
      </c>
      <c r="AP303" s="72">
        <f t="shared" si="54"/>
        <v>79</v>
      </c>
      <c r="AQ303" s="71">
        <f t="shared" si="55"/>
        <v>79</v>
      </c>
      <c r="AR303" s="71">
        <f t="shared" si="55"/>
        <v>79</v>
      </c>
      <c r="AS303" s="71">
        <f t="shared" si="59"/>
        <v>77</v>
      </c>
      <c r="AT303" s="71">
        <f t="shared" si="60"/>
        <v>73</v>
      </c>
      <c r="AU303" s="71">
        <f t="shared" si="57"/>
        <v>75</v>
      </c>
      <c r="AV303" s="72">
        <f>IF(ROUND(V303/VLOOKUP($C303,CapRate,12),0)&gt;AV302,V303/VLOOKUP($C303,CapRate,12),AV302)</f>
        <v>54</v>
      </c>
      <c r="AW303" s="72">
        <f>IF(ROUND(W303/VLOOKUP($C303,CapRate,13),0)&gt;AW302,W303/VLOOKUP($C303,CapRate,13),AW302)</f>
        <v>49</v>
      </c>
      <c r="AX303" s="72">
        <f>IF(ROUND(X303/VLOOKUP($C303,CapRate,14),0)&gt;AX302,X303/VLOOKUP($C303,CapRate,14),AX302)</f>
        <v>48.505906879777626</v>
      </c>
      <c r="AY303" s="72">
        <f>IF(ROUND(Y303/VLOOKUP($C303,CapRate,15),0)&gt;AY302,Y303/VLOOKUP($C303,CapRate,15),AY302)</f>
        <v>47.96691936595451</v>
      </c>
      <c r="AZ303" s="72">
        <f>IF(ROUND(Z303/VLOOKUP($C303,CapRate,16),0)&gt;AZ302,Z303/VLOOKUP($C303,CapRate,16),AZ302)</f>
        <v>56.542699724517917</v>
      </c>
      <c r="BA303" s="72">
        <f>IF(ROUND(AA303/VLOOKUP($C303,CapRate,17),0)&gt;BA302,AA303/VLOOKUP($C303,CapRate,17),BA302)</f>
        <v>66.140109890109898</v>
      </c>
      <c r="BB303" s="72">
        <f>IF(ROUND(AB303/VLOOKUP($C303,CapRate,18),0)&gt;BB302,AB303/VLOOKUP($C303,CapRate,18),BB302)</f>
        <v>73.337902673063738</v>
      </c>
      <c r="BC303" s="72">
        <f>IF(ROUND(AC303/VLOOKUP($C303,CapRate,19),0)&gt;BC302,AC303/VLOOKUP($C303,CapRate,19),BC302)</f>
        <v>80.724538619275464</v>
      </c>
      <c r="BD303" s="72">
        <f>IF(ROUND(AD303/VLOOKUP($C303,CapRate,20),0)&gt;BD302,AD303/VLOOKUP($C303,CapRate,20),BD302)</f>
        <v>91.672354948805463</v>
      </c>
      <c r="BE303" s="72">
        <f>IF(ROUND(AE303/VLOOKUP($C303,CapRate,21),0)&gt;BE302,AE303/VLOOKUP($C303,CapRate,21),BE302)</f>
        <v>101.77474402730377</v>
      </c>
      <c r="BF303" s="72">
        <f>IF(ROUND(AF303/VLOOKUP($C303,CapRate,22),0)&gt;BF302,AF303/VLOOKUP($C303,CapRate,22),BF302)</f>
        <v>108.82352941176471</v>
      </c>
      <c r="BG303" s="72">
        <f>IF(ROUND(AG303/VLOOKUP($C303,CapRate,23),0)&gt;BG302,AG303/VLOOKUP($C303,CapRate,23),BG302)</f>
        <v>114.64924346629988</v>
      </c>
      <c r="BH303" s="72">
        <f>IF(ROUND(AH303/VLOOKUP($C303,CapRate,24),0)&gt;BH302,AH303/VLOOKUP($C303,CapRate,24),BH302)</f>
        <v>121.07438016528924</v>
      </c>
      <c r="BI303" s="72">
        <f>IF(ROUND(AI303/VLOOKUP($C303,CapRate,25),0)&gt;BI302,AI303/VLOOKUP($C303,CapRate,25),BI302)</f>
        <v>124.53480358373535</v>
      </c>
      <c r="BJ303" s="72">
        <f>IF(ROUND(AJ303/VLOOKUP($C303,CapRate,26),0)&gt;BJ302,AJ303/VLOOKUP($C303,CapRate,26),BJ302)</f>
        <v>130.57280883367841</v>
      </c>
      <c r="BK303" s="87">
        <f t="shared" si="58"/>
        <v>4.8484480451949974E-2</v>
      </c>
      <c r="BL303" s="76"/>
      <c r="BM303" s="77"/>
      <c r="BN303" s="77"/>
      <c r="BO303" s="77"/>
      <c r="BP303" s="77">
        <f>BK303</f>
        <v>4.8484480451949974E-2</v>
      </c>
    </row>
    <row r="304" spans="1:68" ht="15.9" customHeight="1" thickBot="1">
      <c r="A304" s="8" t="s">
        <v>138</v>
      </c>
      <c r="B304" s="22"/>
      <c r="C304" s="90" t="s">
        <v>149</v>
      </c>
      <c r="D304" s="91"/>
      <c r="E304" s="90" t="s">
        <v>40</v>
      </c>
      <c r="F304" s="190">
        <f>[1]AcreSummary!J89</f>
        <v>0.27763486668712184</v>
      </c>
      <c r="G304" s="191"/>
      <c r="H304" s="94"/>
      <c r="I304" s="95">
        <f>[1]Dry!E89</f>
        <v>27.14</v>
      </c>
      <c r="J304" s="96">
        <f>[1]Dry!F89</f>
        <v>27.25</v>
      </c>
      <c r="K304" s="97">
        <f>[1]Dry!G89</f>
        <v>28.7</v>
      </c>
      <c r="L304" s="98">
        <f>[1]Dry!H89</f>
        <v>30.57</v>
      </c>
      <c r="M304" s="96">
        <f>[1]Dry!I89</f>
        <v>32.28</v>
      </c>
      <c r="N304" s="99">
        <f>[1]Dry!J89</f>
        <v>33.85</v>
      </c>
      <c r="O304" s="100">
        <v>32.049999999999997</v>
      </c>
      <c r="P304" s="99">
        <f>[1]Dry!K89</f>
        <v>33.4</v>
      </c>
      <c r="Q304" s="101">
        <f>[1]Dry!L89</f>
        <v>33.28</v>
      </c>
      <c r="R304" s="221">
        <f>Q304*0.95</f>
        <v>31.616</v>
      </c>
      <c r="S304" s="103">
        <f>[1]Dry!N89</f>
        <v>32.159999999999997</v>
      </c>
      <c r="T304" s="104">
        <f>[1]Dry!O89</f>
        <v>31.12</v>
      </c>
      <c r="U304" s="105">
        <f>[1]Dry!P89</f>
        <v>29.44</v>
      </c>
      <c r="V304" s="98">
        <f>[1]Dry!Q89</f>
        <v>23.94</v>
      </c>
      <c r="W304" s="98">
        <f>[1]Dry!R89</f>
        <v>27.75</v>
      </c>
      <c r="X304" s="98">
        <f>[1]Dry!S89</f>
        <v>31.59</v>
      </c>
      <c r="Y304" s="98">
        <f>[1]Dry!T89</f>
        <v>35.409999999999997</v>
      </c>
      <c r="Z304" s="98">
        <v>39.92</v>
      </c>
      <c r="AA304" s="98">
        <v>45.32</v>
      </c>
      <c r="AB304" s="98">
        <v>48.47</v>
      </c>
      <c r="AC304" s="98">
        <v>49.59</v>
      </c>
      <c r="AD304" s="98">
        <v>49.2</v>
      </c>
      <c r="AE304" s="98">
        <v>47.11</v>
      </c>
      <c r="AF304" s="98">
        <v>48.7</v>
      </c>
      <c r="AG304" s="106">
        <v>50.78</v>
      </c>
      <c r="AH304" s="107">
        <v>48.63</v>
      </c>
      <c r="AI304" s="107">
        <v>41.07</v>
      </c>
      <c r="AJ304" s="107">
        <v>38.56</v>
      </c>
      <c r="AK304" s="90">
        <f t="shared" si="49"/>
        <v>182</v>
      </c>
      <c r="AL304" s="90">
        <f t="shared" si="50"/>
        <v>192</v>
      </c>
      <c r="AM304" s="108">
        <f t="shared" si="51"/>
        <v>203</v>
      </c>
      <c r="AN304" s="91">
        <f t="shared" si="52"/>
        <v>220</v>
      </c>
      <c r="AO304" s="108">
        <f t="shared" si="53"/>
        <v>228</v>
      </c>
      <c r="AP304" s="109">
        <f t="shared" si="54"/>
        <v>241</v>
      </c>
      <c r="AQ304" s="110">
        <f t="shared" si="55"/>
        <v>239</v>
      </c>
      <c r="AR304" s="222">
        <f t="shared" si="55"/>
        <v>227</v>
      </c>
      <c r="AS304" s="110">
        <f t="shared" si="59"/>
        <v>231</v>
      </c>
      <c r="AT304" s="110">
        <f t="shared" si="60"/>
        <v>224</v>
      </c>
      <c r="AU304" s="110">
        <f t="shared" si="57"/>
        <v>211</v>
      </c>
      <c r="AV304" s="109">
        <f t="shared" si="56"/>
        <v>168</v>
      </c>
      <c r="AW304" s="109">
        <f>ROUND(W304/VLOOKUP($C304,CapRate,13),0)</f>
        <v>194</v>
      </c>
      <c r="AX304" s="72">
        <f>ROUND(X304/VLOOKUP($C304,CapRate,14),0)</f>
        <v>220</v>
      </c>
      <c r="AY304" s="72">
        <f>ROUND(Y304/VLOOKUP($C304,CapRate,15),0)</f>
        <v>244</v>
      </c>
      <c r="AZ304" s="72">
        <f>ROUND(Z304/VLOOKUP($C304,CapRate,16),0)</f>
        <v>275</v>
      </c>
      <c r="BA304" s="72">
        <f>ROUND(AA304/VLOOKUP($C304,CapRate,17),0)</f>
        <v>311</v>
      </c>
      <c r="BB304" s="72">
        <f>ROUND(AB304/VLOOKUP($C304,CapRate,18),0)</f>
        <v>332</v>
      </c>
      <c r="BC304" s="72">
        <f>ROUND(AC304/VLOOKUP($C304,CapRate,19),0)</f>
        <v>339</v>
      </c>
      <c r="BD304" s="72">
        <f>ROUND(AD304/VLOOKUP($C304,CapRate,20),0)</f>
        <v>336</v>
      </c>
      <c r="BE304" s="72">
        <f>ROUND(AE304/VLOOKUP($C304,CapRate,21),0)</f>
        <v>322</v>
      </c>
      <c r="BF304" s="72">
        <f>ROUND(AF304/VLOOKUP($C304,CapRate,22),0)</f>
        <v>333</v>
      </c>
      <c r="BG304" s="72">
        <f>ROUND(AG304/VLOOKUP($C304,CapRate,23),0)</f>
        <v>349</v>
      </c>
      <c r="BH304" s="72">
        <f>ROUND(AH304/VLOOKUP($C304,CapRate,24),0)</f>
        <v>335</v>
      </c>
      <c r="BI304" s="72">
        <f>ROUND(AI304/VLOOKUP($C304,CapRate,25),0)</f>
        <v>283</v>
      </c>
      <c r="BJ304" s="72">
        <f>ROUND(AJ304/VLOOKUP($C304,CapRate,26),0)</f>
        <v>266</v>
      </c>
      <c r="BK304" s="87">
        <f t="shared" si="58"/>
        <v>-6.0070671378091856E-2</v>
      </c>
      <c r="BL304" s="114">
        <f>((F302*BK302)+(F303*BK303)+(F304*BK304))</f>
        <v>9.1815778605136809E-3</v>
      </c>
      <c r="BM304" s="226"/>
      <c r="BN304" s="227">
        <f>BK304</f>
        <v>-6.0070671378091856E-2</v>
      </c>
      <c r="BO304" s="227"/>
      <c r="BP304" s="227"/>
    </row>
    <row r="305" spans="1:77" ht="15.9" customHeight="1" thickTop="1">
      <c r="A305" s="8" t="s">
        <v>138</v>
      </c>
      <c r="B305" s="22"/>
      <c r="C305" s="8" t="s">
        <v>150</v>
      </c>
      <c r="D305" s="23" t="s">
        <v>150</v>
      </c>
      <c r="E305" s="8" t="s">
        <v>39</v>
      </c>
      <c r="F305" s="188">
        <f>[1]AcreSummary!M90</f>
        <v>0.18390521725460174</v>
      </c>
      <c r="G305" s="25"/>
      <c r="H305" s="117"/>
      <c r="I305" s="57">
        <f>[1]Native!E88</f>
        <v>10.09</v>
      </c>
      <c r="J305" s="58">
        <f>[1]Native!F88</f>
        <v>10.15</v>
      </c>
      <c r="K305" s="80">
        <f>[1]Native!G88</f>
        <v>10.54</v>
      </c>
      <c r="L305" s="68">
        <f>[1]Native!H88</f>
        <v>10.77</v>
      </c>
      <c r="M305" s="58">
        <f>[1]Native!I88</f>
        <v>11.25</v>
      </c>
      <c r="N305" s="81">
        <f>[1]Native!J88</f>
        <v>11.8</v>
      </c>
      <c r="O305" s="62">
        <v>9.1999999999999993</v>
      </c>
      <c r="P305" s="81">
        <f>[1]Native!K88</f>
        <v>12.27</v>
      </c>
      <c r="Q305" s="82">
        <f>[1]Native!L88</f>
        <v>12.59</v>
      </c>
      <c r="R305" s="83">
        <v>12.59</v>
      </c>
      <c r="S305" s="84">
        <f>[1]Native!M88</f>
        <v>12.92</v>
      </c>
      <c r="T305" s="66">
        <f>[1]Native!N88</f>
        <v>13.22</v>
      </c>
      <c r="U305" s="67">
        <f>[1]Native!O88</f>
        <v>13.26</v>
      </c>
      <c r="V305" s="68">
        <f>[1]Native!P88</f>
        <v>9.6300000000000008</v>
      </c>
      <c r="W305" s="68">
        <f>[1]Native!Q88</f>
        <v>8.7899999999999991</v>
      </c>
      <c r="X305" s="68">
        <v>8.68</v>
      </c>
      <c r="Y305" s="68">
        <v>8.5399999999999991</v>
      </c>
      <c r="Z305" s="68">
        <v>9.68</v>
      </c>
      <c r="AA305" s="68">
        <v>10.98</v>
      </c>
      <c r="AB305" s="68">
        <v>12.52</v>
      </c>
      <c r="AC305" s="68">
        <v>13.65</v>
      </c>
      <c r="AD305" s="68">
        <v>14.94</v>
      </c>
      <c r="AE305" s="68">
        <v>16.43</v>
      </c>
      <c r="AF305" s="68">
        <v>17.420000000000002</v>
      </c>
      <c r="AG305" s="69">
        <v>18.2</v>
      </c>
      <c r="AH305" s="70">
        <v>18.97</v>
      </c>
      <c r="AI305" s="70">
        <v>19.14</v>
      </c>
      <c r="AJ305" s="70">
        <v>19.75</v>
      </c>
      <c r="AK305" s="8">
        <f t="shared" si="49"/>
        <v>67</v>
      </c>
      <c r="AL305" s="8">
        <f t="shared" si="50"/>
        <v>70</v>
      </c>
      <c r="AM305" s="85">
        <f t="shared" si="51"/>
        <v>71</v>
      </c>
      <c r="AN305" s="23">
        <f t="shared" si="52"/>
        <v>76</v>
      </c>
      <c r="AO305" s="85">
        <f t="shared" si="53"/>
        <v>65</v>
      </c>
      <c r="AP305" s="72">
        <f t="shared" si="54"/>
        <v>88</v>
      </c>
      <c r="AQ305" s="71">
        <f t="shared" si="55"/>
        <v>90</v>
      </c>
      <c r="AR305" s="71">
        <f t="shared" si="55"/>
        <v>90</v>
      </c>
      <c r="AS305" s="71">
        <f t="shared" si="59"/>
        <v>92</v>
      </c>
      <c r="AT305" s="71">
        <f t="shared" si="60"/>
        <v>95</v>
      </c>
      <c r="AU305" s="71">
        <f t="shared" si="57"/>
        <v>95</v>
      </c>
      <c r="AV305" s="72">
        <f t="shared" si="56"/>
        <v>69</v>
      </c>
      <c r="AW305" s="72">
        <f>ROUND(W305/VLOOKUP($C305,CapRate,13),0)</f>
        <v>62</v>
      </c>
      <c r="AX305" s="122">
        <f>IF(ROUND(X305/VLOOKUP($C305,CapRate,14),0)&gt;10,X305/VLOOKUP($C305,CapRate,14),10)</f>
        <v>61.560283687943269</v>
      </c>
      <c r="AY305" s="122">
        <f>IF(ROUND(Y305/VLOOKUP($C305,CapRate,15),0)&gt;10,Y305/VLOOKUP($C305,CapRate,15),10)</f>
        <v>60.268172194777698</v>
      </c>
      <c r="AZ305" s="122">
        <f>IF(ROUND(Z305/VLOOKUP($C305,CapRate,16),0)&gt;10,Z305/VLOOKUP($C305,CapRate,16),10)</f>
        <v>68.16901408450704</v>
      </c>
      <c r="BA305" s="122">
        <f>IF(ROUND(AA305/VLOOKUP($C305,CapRate,17),0)&gt;10,AA305/VLOOKUP($C305,CapRate,17),10)</f>
        <v>76.890756302521012</v>
      </c>
      <c r="BB305" s="122">
        <f>IF(ROUND(AB305/VLOOKUP($C305,CapRate,18),0)&gt;10,AB305/VLOOKUP($C305,CapRate,18),10)</f>
        <v>87.430167597765362</v>
      </c>
      <c r="BC305" s="122">
        <f>IF(ROUND(AC305/VLOOKUP($C305,CapRate,19),0)&gt;10,AC305/VLOOKUP($C305,CapRate,19),10)</f>
        <v>94.989561586638843</v>
      </c>
      <c r="BD305" s="122">
        <f>IF(ROUND(AD305/VLOOKUP($C305,CapRate,20),0)&gt;10,AD305/VLOOKUP($C305,CapRate,20),10)</f>
        <v>103.75</v>
      </c>
      <c r="BE305" s="122">
        <f>IF(ROUND(AE305/VLOOKUP($C305,CapRate,21),0)&gt;10,AE305/VLOOKUP($C305,CapRate,21),10)</f>
        <v>113.93897364771152</v>
      </c>
      <c r="BF305" s="122">
        <f>IF(ROUND(AF305/VLOOKUP($C305,CapRate,22),0)&gt;10,AF305/VLOOKUP($C305,CapRate,22),10)</f>
        <v>120.63711911357342</v>
      </c>
      <c r="BG305" s="122">
        <f>IF(ROUND(AG305/VLOOKUP($C305,CapRate,23),0)&gt;10,AG305/VLOOKUP($C305,CapRate,23),10)</f>
        <v>126.21359223300971</v>
      </c>
      <c r="BH305" s="122">
        <f>IF(ROUND(AH305/VLOOKUP($C305,CapRate,24),0)&gt;10,AH305/VLOOKUP($C305,CapRate,24),10)</f>
        <v>131.73611111111111</v>
      </c>
      <c r="BI305" s="122">
        <f>IF(ROUND(AI305/VLOOKUP($C305,CapRate,25),0)&gt;10,AI305/VLOOKUP($C305,CapRate,25),10)</f>
        <v>133.28690807799444</v>
      </c>
      <c r="BJ305" s="122">
        <f>IF(ROUND(AJ305/VLOOKUP($C305,CapRate,26),0)&gt;10,AJ305/VLOOKUP($C305,CapRate,26),10)</f>
        <v>138.59649122807019</v>
      </c>
      <c r="BK305" s="75">
        <f t="shared" si="58"/>
        <v>3.9835744009972807E-2</v>
      </c>
      <c r="BL305" s="76"/>
      <c r="BM305" s="219">
        <f>BK305</f>
        <v>3.9835744009972807E-2</v>
      </c>
      <c r="BN305" s="220"/>
      <c r="BO305" s="220"/>
      <c r="BP305" s="220"/>
    </row>
    <row r="306" spans="1:77" ht="15.9" customHeight="1">
      <c r="A306" s="8"/>
      <c r="B306" s="22"/>
      <c r="C306" s="8" t="s">
        <v>150</v>
      </c>
      <c r="D306" s="23"/>
      <c r="E306" s="8" t="s">
        <v>85</v>
      </c>
      <c r="F306" s="188">
        <f>[1]AcreSummary!L90</f>
        <v>0.52538611648428268</v>
      </c>
      <c r="G306" s="25"/>
      <c r="H306" s="117"/>
      <c r="I306" s="57"/>
      <c r="J306" s="58">
        <f>[1]Tame!D57</f>
        <v>12.87</v>
      </c>
      <c r="K306" s="80">
        <f>[1]Tame!E57</f>
        <v>12.55</v>
      </c>
      <c r="L306" s="68">
        <f>[1]Tame!F57</f>
        <v>12.25</v>
      </c>
      <c r="M306" s="58">
        <f>[1]Tame!G57</f>
        <v>12.15</v>
      </c>
      <c r="N306" s="81">
        <f>[1]Tame!H57</f>
        <v>12.12</v>
      </c>
      <c r="O306" s="62">
        <v>12.43</v>
      </c>
      <c r="P306" s="81">
        <f>[1]Tame!I57</f>
        <v>11.99</v>
      </c>
      <c r="Q306" s="82">
        <f>[1]Tame!J57</f>
        <v>12.04</v>
      </c>
      <c r="R306" s="83">
        <v>12.04</v>
      </c>
      <c r="S306" s="84">
        <f>[1]Tame!K57</f>
        <v>11.92</v>
      </c>
      <c r="T306" s="66">
        <f>[1]Tame!L57</f>
        <v>11.67</v>
      </c>
      <c r="U306" s="67">
        <f>[1]Tame!M57</f>
        <v>12.01</v>
      </c>
      <c r="V306" s="68">
        <f>[1]Tame!N57</f>
        <v>4.0999999999999996</v>
      </c>
      <c r="W306" s="68">
        <f>[1]Tame!O57</f>
        <v>3.07</v>
      </c>
      <c r="X306" s="68">
        <v>2.85</v>
      </c>
      <c r="Y306" s="68">
        <v>2.61</v>
      </c>
      <c r="Z306" s="68">
        <v>4.47</v>
      </c>
      <c r="AA306" s="68">
        <v>6.63</v>
      </c>
      <c r="AB306" s="68">
        <v>8.6999999999999993</v>
      </c>
      <c r="AC306" s="68">
        <v>0</v>
      </c>
      <c r="AD306" s="68">
        <v>12.32</v>
      </c>
      <c r="AE306" s="68">
        <v>14.12</v>
      </c>
      <c r="AF306" s="68">
        <v>15.13</v>
      </c>
      <c r="AG306" s="69">
        <v>16.16</v>
      </c>
      <c r="AH306" s="70">
        <v>17.13</v>
      </c>
      <c r="AI306" s="70">
        <v>17.62</v>
      </c>
      <c r="AJ306" s="70">
        <v>18.46</v>
      </c>
      <c r="AK306" s="8">
        <f>ROUND(J306/VLOOKUP($C306,CapRate,2),0)</f>
        <v>86</v>
      </c>
      <c r="AL306" s="8">
        <f>ROUND(K306/VLOOKUP($C306,CapRate,3),0)</f>
        <v>84</v>
      </c>
      <c r="AM306" s="85">
        <f>ROUND(L306/VLOOKUP($C306,CapRate,4),0)</f>
        <v>81</v>
      </c>
      <c r="AN306" s="23">
        <f>ROUND(M306/VLOOKUP($C306,CapRate,5),0)</f>
        <v>82</v>
      </c>
      <c r="AO306" s="85">
        <f t="shared" si="53"/>
        <v>88</v>
      </c>
      <c r="AP306" s="72">
        <f t="shared" si="54"/>
        <v>86</v>
      </c>
      <c r="AQ306" s="71">
        <f t="shared" si="55"/>
        <v>86</v>
      </c>
      <c r="AR306" s="71">
        <f t="shared" si="55"/>
        <v>86</v>
      </c>
      <c r="AS306" s="71">
        <f t="shared" si="59"/>
        <v>85</v>
      </c>
      <c r="AT306" s="71">
        <f t="shared" si="60"/>
        <v>84</v>
      </c>
      <c r="AU306" s="71">
        <f t="shared" si="57"/>
        <v>86</v>
      </c>
      <c r="AV306" s="72">
        <f>IF(ROUND(V306/VLOOKUP($C306,CapRate,12),0)&gt;AV305,V306/VLOOKUP($C306,CapRate,12),AV305)</f>
        <v>69</v>
      </c>
      <c r="AW306" s="72">
        <f>IF(ROUND(W306/VLOOKUP($C306,CapRate,13),0)&gt;AW305,W306/VLOOKUP($C306,CapRate,13),AW305)</f>
        <v>62</v>
      </c>
      <c r="AX306" s="72">
        <f>IF(ROUND(X306/VLOOKUP($C306,CapRate,14),0)&gt;AX305,X306/VLOOKUP($C306,CapRate,14),AX305)</f>
        <v>61.560283687943269</v>
      </c>
      <c r="AY306" s="72">
        <f>IF(ROUND(Y306/VLOOKUP($C306,CapRate,15),0)&gt;AY305,Y306/VLOOKUP($C306,CapRate,15),AY305)</f>
        <v>60.268172194777698</v>
      </c>
      <c r="AZ306" s="72">
        <f>IF(ROUND(Z306/VLOOKUP($C306,CapRate,16),0)&gt;AZ305,Z306/VLOOKUP($C306,CapRate,16),AZ305)</f>
        <v>68.16901408450704</v>
      </c>
      <c r="BA306" s="72">
        <f>IF(ROUND(AA306/VLOOKUP($C306,CapRate,17),0)&gt;BA305,AA306/VLOOKUP($C306,CapRate,17),BA305)</f>
        <v>76.890756302521012</v>
      </c>
      <c r="BB306" s="72">
        <f>IF(ROUND(AB306/VLOOKUP($C306,CapRate,18),0)&gt;BB305,AB306/VLOOKUP($C306,CapRate,18),BB305)</f>
        <v>87.430167597765362</v>
      </c>
      <c r="BC306" s="72">
        <f>IF(ROUND(AC306/VLOOKUP($C306,CapRate,19),0)&gt;BC305,AC306/VLOOKUP($C306,CapRate,19),BC305)</f>
        <v>94.989561586638843</v>
      </c>
      <c r="BD306" s="72">
        <f>IF(ROUND(AD306/VLOOKUP($C306,CapRate,20),0)&gt;BD305,AD306/VLOOKUP($C306,CapRate,20),BD305)</f>
        <v>103.75</v>
      </c>
      <c r="BE306" s="72">
        <f>IF(ROUND(AE306/VLOOKUP($C306,CapRate,21),0)&gt;BE305,AE306/VLOOKUP($C306,CapRate,21),BE305)</f>
        <v>113.93897364771152</v>
      </c>
      <c r="BF306" s="72">
        <f>IF(ROUND(AF306/VLOOKUP($C306,CapRate,22),0)&gt;BF305,AF306/VLOOKUP($C306,CapRate,22),BF305)</f>
        <v>120.63711911357342</v>
      </c>
      <c r="BG306" s="72">
        <f>IF(ROUND(AG306/VLOOKUP($C306,CapRate,23),0)&gt;BG305,AG306/VLOOKUP($C306,CapRate,23),BG305)</f>
        <v>126.21359223300971</v>
      </c>
      <c r="BH306" s="72">
        <f>IF(ROUND(AH306/VLOOKUP($C306,CapRate,24),0)&gt;BH305,AH306/VLOOKUP($C306,CapRate,24),BH305)</f>
        <v>131.73611111111111</v>
      </c>
      <c r="BI306" s="72">
        <f>IF(ROUND(AI306/VLOOKUP($C306,CapRate,25),0)&gt;BI305,AI306/VLOOKUP($C306,CapRate,25),BI305)</f>
        <v>133.28690807799444</v>
      </c>
      <c r="BJ306" s="72">
        <f>IF(ROUND(AJ306/VLOOKUP($C306,CapRate,26),0)&gt;BJ305,AJ306/VLOOKUP($C306,CapRate,26),BJ305)</f>
        <v>138.59649122807019</v>
      </c>
      <c r="BK306" s="87">
        <f t="shared" si="58"/>
        <v>3.9835744009972807E-2</v>
      </c>
      <c r="BL306" s="76"/>
      <c r="BM306" s="77"/>
      <c r="BN306" s="77"/>
      <c r="BO306" s="77"/>
      <c r="BP306" s="77">
        <f>BK306</f>
        <v>3.9835744009972807E-2</v>
      </c>
    </row>
    <row r="307" spans="1:77" ht="15.9" customHeight="1" thickBot="1">
      <c r="A307" s="8" t="s">
        <v>138</v>
      </c>
      <c r="B307" s="22"/>
      <c r="C307" s="90" t="s">
        <v>150</v>
      </c>
      <c r="D307" s="91"/>
      <c r="E307" s="90" t="s">
        <v>40</v>
      </c>
      <c r="F307" s="190">
        <f>[1]AcreSummary!J90</f>
        <v>0.28014264915962078</v>
      </c>
      <c r="G307" s="191"/>
      <c r="H307" s="94"/>
      <c r="I307" s="95">
        <f>[1]Dry!E90</f>
        <v>29.48</v>
      </c>
      <c r="J307" s="96">
        <f>[1]Dry!F90</f>
        <v>30.03</v>
      </c>
      <c r="K307" s="97">
        <f>[1]Dry!G90</f>
        <v>31.13</v>
      </c>
      <c r="L307" s="98">
        <f>[1]Dry!H90</f>
        <v>32.33</v>
      </c>
      <c r="M307" s="96">
        <f>[1]Dry!I90</f>
        <v>33.729999999999997</v>
      </c>
      <c r="N307" s="99">
        <f>[1]Dry!J90</f>
        <v>35.299999999999997</v>
      </c>
      <c r="O307" s="100">
        <v>34.81</v>
      </c>
      <c r="P307" s="99">
        <f>[1]Dry!K90</f>
        <v>35.200000000000003</v>
      </c>
      <c r="Q307" s="101">
        <f>[1]Dry!L90</f>
        <v>34.950000000000003</v>
      </c>
      <c r="R307" s="221">
        <f>Q307*0.95</f>
        <v>33.202500000000001</v>
      </c>
      <c r="S307" s="103">
        <f>[1]Dry!N90</f>
        <v>33.57</v>
      </c>
      <c r="T307" s="104">
        <f>[1]Dry!O90</f>
        <v>32.47</v>
      </c>
      <c r="U307" s="105">
        <f>[1]Dry!P90</f>
        <v>30.95</v>
      </c>
      <c r="V307" s="98">
        <f>[1]Dry!Q90</f>
        <v>28</v>
      </c>
      <c r="W307" s="98">
        <f>[1]Dry!R90</f>
        <v>33.020000000000003</v>
      </c>
      <c r="X307" s="98">
        <f>[1]Dry!S90</f>
        <v>38.4</v>
      </c>
      <c r="Y307" s="98">
        <f>[1]Dry!T90</f>
        <v>43.66</v>
      </c>
      <c r="Z307" s="98">
        <v>49.38</v>
      </c>
      <c r="AA307" s="98">
        <v>56.59</v>
      </c>
      <c r="AB307" s="98">
        <v>61.57</v>
      </c>
      <c r="AC307" s="98">
        <v>64.87</v>
      </c>
      <c r="AD307" s="98">
        <v>65.73</v>
      </c>
      <c r="AE307" s="98">
        <v>64.739999999999995</v>
      </c>
      <c r="AF307" s="98">
        <v>66.45</v>
      </c>
      <c r="AG307" s="106">
        <v>68.67</v>
      </c>
      <c r="AH307" s="107">
        <v>66.819999999999993</v>
      </c>
      <c r="AI307" s="107">
        <v>59.13</v>
      </c>
      <c r="AJ307" s="107">
        <v>55.92</v>
      </c>
      <c r="AK307" s="90">
        <f t="shared" si="49"/>
        <v>200</v>
      </c>
      <c r="AL307" s="90">
        <f t="shared" si="50"/>
        <v>208</v>
      </c>
      <c r="AM307" s="108">
        <f t="shared" si="51"/>
        <v>214</v>
      </c>
      <c r="AN307" s="91">
        <f t="shared" si="52"/>
        <v>228</v>
      </c>
      <c r="AO307" s="108">
        <f t="shared" si="53"/>
        <v>246</v>
      </c>
      <c r="AP307" s="109">
        <f t="shared" si="54"/>
        <v>252</v>
      </c>
      <c r="AQ307" s="110">
        <f t="shared" si="55"/>
        <v>250</v>
      </c>
      <c r="AR307" s="222">
        <f t="shared" si="55"/>
        <v>238</v>
      </c>
      <c r="AS307" s="110">
        <f t="shared" si="59"/>
        <v>240</v>
      </c>
      <c r="AT307" s="110">
        <f t="shared" si="60"/>
        <v>232</v>
      </c>
      <c r="AU307" s="110">
        <f t="shared" si="57"/>
        <v>222</v>
      </c>
      <c r="AV307" s="109">
        <f t="shared" si="56"/>
        <v>199</v>
      </c>
      <c r="AW307" s="109">
        <f>ROUND(W307/VLOOKUP($C307,CapRate,13),0)</f>
        <v>235</v>
      </c>
      <c r="AX307" s="72">
        <f>ROUND(X307/VLOOKUP($C307,CapRate,14),0)</f>
        <v>272</v>
      </c>
      <c r="AY307" s="72">
        <f>ROUND(Y307/VLOOKUP($C307,CapRate,15),0)</f>
        <v>308</v>
      </c>
      <c r="AZ307" s="72">
        <f>ROUND(Z307/VLOOKUP($C307,CapRate,16),0)</f>
        <v>348</v>
      </c>
      <c r="BA307" s="72">
        <f>ROUND(AA307/VLOOKUP($C307,CapRate,17),0)</f>
        <v>396</v>
      </c>
      <c r="BB307" s="72">
        <f>ROUND(AB307/VLOOKUP($C307,CapRate,18),0)</f>
        <v>430</v>
      </c>
      <c r="BC307" s="72">
        <f>ROUND(AC307/VLOOKUP($C307,CapRate,19),0)</f>
        <v>451</v>
      </c>
      <c r="BD307" s="72">
        <f>ROUND(AD307/VLOOKUP($C307,CapRate,20),0)</f>
        <v>456</v>
      </c>
      <c r="BE307" s="72">
        <f>ROUND(AE307/VLOOKUP($C307,CapRate,21),0)</f>
        <v>449</v>
      </c>
      <c r="BF307" s="72">
        <f>ROUND(AF307/VLOOKUP($C307,CapRate,22),0)</f>
        <v>460</v>
      </c>
      <c r="BG307" s="72">
        <f>ROUND(AG307/VLOOKUP($C307,CapRate,23),0)</f>
        <v>476</v>
      </c>
      <c r="BH307" s="72">
        <f>ROUND(AH307/VLOOKUP($C307,CapRate,24),0)</f>
        <v>464</v>
      </c>
      <c r="BI307" s="72">
        <f>ROUND(AI307/VLOOKUP($C307,CapRate,25),0)</f>
        <v>412</v>
      </c>
      <c r="BJ307" s="72">
        <f>ROUND(AJ307/VLOOKUP($C307,CapRate,26),0)</f>
        <v>392</v>
      </c>
      <c r="BK307" s="87">
        <f t="shared" si="58"/>
        <v>-4.8543689320388328E-2</v>
      </c>
      <c r="BL307" s="114">
        <f>((F305*BK305)+(F306*BK306)+(F307*BK307))</f>
        <v>1.4655990273119208E-2</v>
      </c>
      <c r="BM307" s="226"/>
      <c r="BN307" s="227">
        <f>BK307</f>
        <v>-4.8543689320388328E-2</v>
      </c>
      <c r="BO307" s="227"/>
      <c r="BP307" s="227"/>
    </row>
    <row r="308" spans="1:77" ht="15.9" customHeight="1" thickTop="1">
      <c r="A308" s="8" t="s">
        <v>138</v>
      </c>
      <c r="B308" s="22"/>
      <c r="C308" s="8" t="s">
        <v>151</v>
      </c>
      <c r="D308" s="23" t="s">
        <v>151</v>
      </c>
      <c r="E308" s="8" t="s">
        <v>39</v>
      </c>
      <c r="F308" s="188">
        <f>[1]AcreSummary!M91</f>
        <v>0.68128531691821059</v>
      </c>
      <c r="G308" s="25"/>
      <c r="H308" s="117"/>
      <c r="I308" s="57">
        <f>[1]Native!E89</f>
        <v>8.27</v>
      </c>
      <c r="J308" s="58">
        <f>[1]Native!F89</f>
        <v>8.17</v>
      </c>
      <c r="K308" s="80">
        <f>[1]Native!G89</f>
        <v>8.41</v>
      </c>
      <c r="L308" s="68">
        <f>[1]Native!H89</f>
        <v>8.58</v>
      </c>
      <c r="M308" s="58">
        <f>[1]Native!I89</f>
        <v>8.9700000000000006</v>
      </c>
      <c r="N308" s="81">
        <f>[1]Native!J89</f>
        <v>9.39</v>
      </c>
      <c r="O308" s="62">
        <v>9.43</v>
      </c>
      <c r="P308" s="81">
        <f>[1]Native!K89</f>
        <v>9.77</v>
      </c>
      <c r="Q308" s="82">
        <f>[1]Native!L89</f>
        <v>10.02</v>
      </c>
      <c r="R308" s="83">
        <v>10.02</v>
      </c>
      <c r="S308" s="84">
        <f>[1]Native!M89</f>
        <v>10.27</v>
      </c>
      <c r="T308" s="66">
        <f>[1]Native!N89</f>
        <v>10.48</v>
      </c>
      <c r="U308" s="67">
        <f>[1]Native!O89</f>
        <v>10.53</v>
      </c>
      <c r="V308" s="68">
        <f>[1]Native!P89</f>
        <v>5.96</v>
      </c>
      <c r="W308" s="68">
        <f>[1]Native!Q89</f>
        <v>5.09</v>
      </c>
      <c r="X308" s="68">
        <v>5.24</v>
      </c>
      <c r="Y308" s="68">
        <v>5.05</v>
      </c>
      <c r="Z308" s="68">
        <v>10.23</v>
      </c>
      <c r="AA308" s="68">
        <v>11.96</v>
      </c>
      <c r="AB308" s="68">
        <v>8.41</v>
      </c>
      <c r="AC308" s="68">
        <v>9.48</v>
      </c>
      <c r="AD308" s="68">
        <v>10.91</v>
      </c>
      <c r="AE308" s="68">
        <v>12.37</v>
      </c>
      <c r="AF308" s="68">
        <v>13.09</v>
      </c>
      <c r="AG308" s="69">
        <v>13.82</v>
      </c>
      <c r="AH308" s="70">
        <v>14.51</v>
      </c>
      <c r="AI308" s="70">
        <v>14.62</v>
      </c>
      <c r="AJ308" s="70">
        <v>15.14</v>
      </c>
      <c r="AK308" s="8">
        <f t="shared" si="49"/>
        <v>55</v>
      </c>
      <c r="AL308" s="8">
        <f t="shared" si="50"/>
        <v>57</v>
      </c>
      <c r="AM308" s="85">
        <f t="shared" si="51"/>
        <v>57</v>
      </c>
      <c r="AN308" s="23">
        <f t="shared" si="52"/>
        <v>61</v>
      </c>
      <c r="AO308" s="85">
        <f t="shared" si="53"/>
        <v>67</v>
      </c>
      <c r="AP308" s="72">
        <f t="shared" si="54"/>
        <v>71</v>
      </c>
      <c r="AQ308" s="71">
        <f t="shared" si="55"/>
        <v>73</v>
      </c>
      <c r="AR308" s="71">
        <f t="shared" si="55"/>
        <v>73</v>
      </c>
      <c r="AS308" s="71">
        <f t="shared" si="59"/>
        <v>75</v>
      </c>
      <c r="AT308" s="71">
        <f t="shared" si="60"/>
        <v>76</v>
      </c>
      <c r="AU308" s="71">
        <f t="shared" si="57"/>
        <v>76</v>
      </c>
      <c r="AV308" s="72">
        <f t="shared" si="56"/>
        <v>42</v>
      </c>
      <c r="AW308" s="72">
        <f>ROUND(W308/VLOOKUP($C308,CapRate,13),0)</f>
        <v>36</v>
      </c>
      <c r="AX308" s="122">
        <f>IF(ROUND(X308/VLOOKUP($C308,CapRate,14),0)&gt;10,X308/VLOOKUP($C308,CapRate,14),10)</f>
        <v>36.797752808988768</v>
      </c>
      <c r="AY308" s="122">
        <f>IF(ROUND(Y308/VLOOKUP($C308,CapRate,15),0)&gt;10,Y308/VLOOKUP($C308,CapRate,15),10)</f>
        <v>35.045107564191532</v>
      </c>
      <c r="AZ308" s="122">
        <f>IF(ROUND(Z308/VLOOKUP($C308,CapRate,16),0)&gt;10,Z308/VLOOKUP($C308,CapRate,16),10)</f>
        <v>70.649171270718227</v>
      </c>
      <c r="BA308" s="122">
        <f>IF(ROUND(AA308/VLOOKUP($C308,CapRate,17),0)&gt;10,AA308/VLOOKUP($C308,CapRate,17),10)</f>
        <v>81.526925698704844</v>
      </c>
      <c r="BB308" s="122">
        <f>IF(ROUND(AB308/VLOOKUP($C308,CapRate,18),0)&gt;10,AB308/VLOOKUP($C308,CapRate,18),10)</f>
        <v>56.747638326585694</v>
      </c>
      <c r="BC308" s="122">
        <f>IF(ROUND(AC308/VLOOKUP($C308,CapRate,19),0)&gt;10,AC308/VLOOKUP($C308,CapRate,19),10)</f>
        <v>63.49631614199599</v>
      </c>
      <c r="BD308" s="122">
        <f>IF(ROUND(AD308/VLOOKUP($C308,CapRate,20),0)&gt;10,AD308/VLOOKUP($C308,CapRate,20),10)</f>
        <v>72.539893617021278</v>
      </c>
      <c r="BE308" s="122">
        <f>IF(ROUND(AE308/VLOOKUP($C308,CapRate,21),0)&gt;10,AE308/VLOOKUP($C308,CapRate,21),10)</f>
        <v>81.812169312169303</v>
      </c>
      <c r="BF308" s="122">
        <f>IF(ROUND(AF308/VLOOKUP($C308,CapRate,22),0)&gt;10,AF308/VLOOKUP($C308,CapRate,22),10)</f>
        <v>86.175115207373267</v>
      </c>
      <c r="BG308" s="122">
        <f>IF(ROUND(AG308/VLOOKUP($C308,CapRate,23),0)&gt;10,AG308/VLOOKUP($C308,CapRate,23),10)</f>
        <v>90.622950819672141</v>
      </c>
      <c r="BH308" s="122">
        <f>IF(ROUND(AH308/VLOOKUP($C308,CapRate,24),0)&gt;10,AH308/VLOOKUP($C308,CapRate,24),10)</f>
        <v>94.898626553302805</v>
      </c>
      <c r="BI308" s="122">
        <f>IF(ROUND(AI308/VLOOKUP($C308,CapRate,25),0)&gt;10,AI308/VLOOKUP($C308,CapRate,25),10)</f>
        <v>95.368558382257007</v>
      </c>
      <c r="BJ308" s="122">
        <f>IF(ROUND(AJ308/VLOOKUP($C308,CapRate,26),0)&gt;10,AJ308/VLOOKUP($C308,CapRate,26),10)</f>
        <v>98.503578399479508</v>
      </c>
      <c r="BK308" s="75">
        <f t="shared" si="58"/>
        <v>3.2872679113557401E-2</v>
      </c>
      <c r="BL308" s="76"/>
      <c r="BM308" s="219">
        <f>BK308</f>
        <v>3.2872679113557401E-2</v>
      </c>
      <c r="BN308" s="220"/>
      <c r="BO308" s="220"/>
      <c r="BP308" s="220"/>
    </row>
    <row r="309" spans="1:77" ht="15.9" customHeight="1">
      <c r="A309" s="8"/>
      <c r="B309" s="22"/>
      <c r="C309" s="8" t="s">
        <v>151</v>
      </c>
      <c r="D309" s="23"/>
      <c r="E309" s="8" t="s">
        <v>85</v>
      </c>
      <c r="F309" s="188">
        <f>[1]AcreSummary!L91</f>
        <v>5.598553737724557E-2</v>
      </c>
      <c r="G309" s="25"/>
      <c r="H309" s="117"/>
      <c r="I309" s="57"/>
      <c r="J309" s="58">
        <f>[1]Tame!D58</f>
        <v>11.23</v>
      </c>
      <c r="K309" s="80">
        <f>[1]Tame!E58</f>
        <v>10.88</v>
      </c>
      <c r="L309" s="68">
        <f>[1]Tame!F58</f>
        <v>10.53</v>
      </c>
      <c r="M309" s="58">
        <f>[1]Tame!G58</f>
        <v>10.37</v>
      </c>
      <c r="N309" s="81">
        <f>[1]Tame!H58</f>
        <v>10.130000000000001</v>
      </c>
      <c r="O309" s="62">
        <v>10.51</v>
      </c>
      <c r="P309" s="81">
        <f>[1]Tame!I58</f>
        <v>9.83</v>
      </c>
      <c r="Q309" s="82">
        <f>[1]Tame!J58</f>
        <v>9.7899999999999991</v>
      </c>
      <c r="R309" s="83">
        <v>9.7899999999999991</v>
      </c>
      <c r="S309" s="84">
        <f>[1]Tame!K58</f>
        <v>9.5299999999999994</v>
      </c>
      <c r="T309" s="66">
        <f>[1]Tame!L58</f>
        <v>9.0299999999999994</v>
      </c>
      <c r="U309" s="67">
        <f>[1]Tame!M58</f>
        <v>9.2200000000000006</v>
      </c>
      <c r="V309" s="68">
        <f>[1]Tame!N58</f>
        <v>1.6</v>
      </c>
      <c r="W309" s="68">
        <f>[1]Tame!O58</f>
        <v>0.69</v>
      </c>
      <c r="X309" s="68">
        <v>0.59</v>
      </c>
      <c r="Y309" s="68">
        <v>0.47</v>
      </c>
      <c r="Z309" s="68">
        <v>2.46</v>
      </c>
      <c r="AA309" s="68">
        <v>4.74</v>
      </c>
      <c r="AB309" s="68">
        <v>6.78</v>
      </c>
      <c r="AC309" s="68">
        <v>8.74</v>
      </c>
      <c r="AD309" s="68">
        <v>10.210000000000001</v>
      </c>
      <c r="AE309" s="68">
        <v>11.97</v>
      </c>
      <c r="AF309" s="68">
        <v>12.94</v>
      </c>
      <c r="AG309" s="69">
        <v>13.93</v>
      </c>
      <c r="AH309" s="70">
        <v>14.86</v>
      </c>
      <c r="AI309" s="70">
        <v>15.32</v>
      </c>
      <c r="AJ309" s="70">
        <v>16.11</v>
      </c>
      <c r="AK309" s="8">
        <f>ROUND(J309/VLOOKUP($C309,CapRate,2),0)</f>
        <v>75</v>
      </c>
      <c r="AL309" s="8">
        <f>ROUND(K309/VLOOKUP($C309,CapRate,3),0)</f>
        <v>73</v>
      </c>
      <c r="AM309" s="85">
        <f>ROUND(L309/VLOOKUP($C309,CapRate,4),0)</f>
        <v>70</v>
      </c>
      <c r="AN309" s="23">
        <f>ROUND(M309/VLOOKUP($C309,CapRate,5),0)</f>
        <v>71</v>
      </c>
      <c r="AO309" s="85">
        <f t="shared" si="53"/>
        <v>75</v>
      </c>
      <c r="AP309" s="72">
        <f t="shared" si="54"/>
        <v>71</v>
      </c>
      <c r="AQ309" s="71">
        <f t="shared" si="55"/>
        <v>71</v>
      </c>
      <c r="AR309" s="71">
        <f t="shared" si="55"/>
        <v>71</v>
      </c>
      <c r="AS309" s="71">
        <f t="shared" si="59"/>
        <v>69</v>
      </c>
      <c r="AT309" s="71">
        <f t="shared" si="60"/>
        <v>66</v>
      </c>
      <c r="AU309" s="71">
        <f t="shared" si="57"/>
        <v>67</v>
      </c>
      <c r="AV309" s="72">
        <f>IF(ROUND(V309/VLOOKUP($C309,CapRate,12),0)&gt;AV308,V309/VLOOKUP($C309,CapRate,12),AV308)</f>
        <v>42</v>
      </c>
      <c r="AW309" s="72">
        <f>IF(ROUND(W309/VLOOKUP($C309,CapRate,13),0)&gt;AW308,W309/VLOOKUP($C309,CapRate,13),AW308)</f>
        <v>36</v>
      </c>
      <c r="AX309" s="72">
        <f>IF(ROUND(X309/VLOOKUP($C309,CapRate,14),0)&gt;AX308,X309/VLOOKUP($C309,CapRate,14),AX308)</f>
        <v>36.797752808988768</v>
      </c>
      <c r="AY309" s="72">
        <f>IF(ROUND(Y309/VLOOKUP($C309,CapRate,15),0)&gt;AY308,Y309/VLOOKUP($C309,CapRate,15),AY308)</f>
        <v>35.045107564191532</v>
      </c>
      <c r="AZ309" s="72">
        <f>IF(ROUND(Z309/VLOOKUP($C309,CapRate,16),0)&gt;AZ308,Z309/VLOOKUP($C309,CapRate,16),AZ308)</f>
        <v>70.649171270718227</v>
      </c>
      <c r="BA309" s="72">
        <f>IF(ROUND(AA309/VLOOKUP($C309,CapRate,17),0)&gt;BA308,AA309/VLOOKUP($C309,CapRate,17),BA308)</f>
        <v>81.526925698704844</v>
      </c>
      <c r="BB309" s="72">
        <f>IF(ROUND(AB309/VLOOKUP($C309,CapRate,18),0)&gt;BB308,AB309/VLOOKUP($C309,CapRate,18),BB308)</f>
        <v>56.747638326585694</v>
      </c>
      <c r="BC309" s="72">
        <f>IF(ROUND(AC309/VLOOKUP($C309,CapRate,19),0)&gt;BC308,AC309/VLOOKUP($C309,CapRate,19),BC308)</f>
        <v>63.49631614199599</v>
      </c>
      <c r="BD309" s="72">
        <f>IF(ROUND(AD309/VLOOKUP($C309,CapRate,20),0)&gt;BD308,AD309/VLOOKUP($C309,CapRate,20),BD308)</f>
        <v>72.539893617021278</v>
      </c>
      <c r="BE309" s="72">
        <f>IF(ROUND(AE309/VLOOKUP($C309,CapRate,21),0)&gt;BE308,AE309/VLOOKUP($C309,CapRate,21),BE308)</f>
        <v>81.812169312169303</v>
      </c>
      <c r="BF309" s="72">
        <f>IF(ROUND(AF309/VLOOKUP($C309,CapRate,22),0)&gt;BF308,AF309/VLOOKUP($C309,CapRate,22),BF308)</f>
        <v>86.175115207373267</v>
      </c>
      <c r="BG309" s="72">
        <f>IF(ROUND(AG309/VLOOKUP($C309,CapRate,23),0)&gt;BG308,AG309/VLOOKUP($C309,CapRate,23),BG308)</f>
        <v>91.344262295081961</v>
      </c>
      <c r="BH309" s="72">
        <f>IF(ROUND(AH309/VLOOKUP($C309,CapRate,24),0)&gt;BH308,AH309/VLOOKUP($C309,CapRate,24),BH308)</f>
        <v>97.187704381948976</v>
      </c>
      <c r="BI309" s="72">
        <f>IF(ROUND(AI309/VLOOKUP($C309,CapRate,25),0)&gt;BI308,AI309/VLOOKUP($C309,CapRate,25),BI308)</f>
        <v>99.934768427919124</v>
      </c>
      <c r="BJ309" s="72">
        <f>IF(ROUND(AJ309/VLOOKUP($C309,CapRate,26),0)&gt;BJ308,AJ309/VLOOKUP($C309,CapRate,26),BJ308)</f>
        <v>104.81457384515289</v>
      </c>
      <c r="BK309" s="87">
        <f t="shared" si="58"/>
        <v>4.8829906688115932E-2</v>
      </c>
      <c r="BL309" s="76"/>
      <c r="BM309" s="77"/>
      <c r="BN309" s="77"/>
      <c r="BO309" s="77"/>
      <c r="BP309" s="77">
        <f>BK309</f>
        <v>4.8829906688115932E-2</v>
      </c>
    </row>
    <row r="310" spans="1:77" ht="15.9" customHeight="1" thickBot="1">
      <c r="A310" s="8" t="s">
        <v>138</v>
      </c>
      <c r="B310" s="22"/>
      <c r="C310" s="8" t="s">
        <v>151</v>
      </c>
      <c r="D310" s="23"/>
      <c r="E310" s="8" t="s">
        <v>40</v>
      </c>
      <c r="F310" s="229">
        <f>[1]AcreSummary!J91</f>
        <v>0.26097534885769702</v>
      </c>
      <c r="G310" s="25"/>
      <c r="H310" s="117"/>
      <c r="I310" s="57">
        <f>[1]Dry!E91</f>
        <v>22.39</v>
      </c>
      <c r="J310" s="58">
        <f>[1]Dry!F91</f>
        <v>21.37</v>
      </c>
      <c r="K310" s="80">
        <f>[1]Dry!G91</f>
        <v>22.07</v>
      </c>
      <c r="L310" s="68">
        <f>[1]Dry!H91</f>
        <v>23.34</v>
      </c>
      <c r="M310" s="58">
        <f>[1]Dry!I91</f>
        <v>24.87</v>
      </c>
      <c r="N310" s="81">
        <f>[1]Dry!J91</f>
        <v>26.56</v>
      </c>
      <c r="O310" s="62">
        <v>26.57</v>
      </c>
      <c r="P310" s="81">
        <f>[1]Dry!K91</f>
        <v>27.46</v>
      </c>
      <c r="Q310" s="82">
        <f>[1]Dry!L91</f>
        <v>28.47</v>
      </c>
      <c r="R310" s="83">
        <f>Q310*0.95</f>
        <v>27.046499999999998</v>
      </c>
      <c r="S310" s="84">
        <f>[1]Dry!N91</f>
        <v>28.24</v>
      </c>
      <c r="T310" s="66">
        <f>[1]Dry!O91</f>
        <v>28.06</v>
      </c>
      <c r="U310" s="67">
        <f>[1]Dry!P91</f>
        <v>26.88</v>
      </c>
      <c r="V310" s="68">
        <f>[1]Dry!Q91</f>
        <v>21.15</v>
      </c>
      <c r="W310" s="68">
        <f>[1]Dry!R91</f>
        <v>23.71</v>
      </c>
      <c r="X310" s="68">
        <f>[1]Dry!S91</f>
        <v>26.86</v>
      </c>
      <c r="Y310" s="68">
        <f>[1]Dry!T91</f>
        <v>30.51</v>
      </c>
      <c r="Z310" s="68">
        <v>34.869999999999997</v>
      </c>
      <c r="AA310" s="68">
        <v>39.92</v>
      </c>
      <c r="AB310" s="68">
        <v>43.42</v>
      </c>
      <c r="AC310" s="68">
        <v>45.55</v>
      </c>
      <c r="AD310" s="68">
        <v>45.52</v>
      </c>
      <c r="AE310" s="68">
        <v>44.4</v>
      </c>
      <c r="AF310" s="68">
        <v>45.67</v>
      </c>
      <c r="AG310" s="69">
        <v>47.15</v>
      </c>
      <c r="AH310" s="70">
        <v>44.92</v>
      </c>
      <c r="AI310" s="70">
        <v>38.08</v>
      </c>
      <c r="AJ310" s="70">
        <v>35.64</v>
      </c>
      <c r="AK310" s="8">
        <f t="shared" si="49"/>
        <v>144</v>
      </c>
      <c r="AL310" s="8">
        <f t="shared" si="50"/>
        <v>148</v>
      </c>
      <c r="AM310" s="85">
        <f t="shared" si="51"/>
        <v>156</v>
      </c>
      <c r="AN310" s="23">
        <f t="shared" si="52"/>
        <v>170</v>
      </c>
      <c r="AO310" s="85">
        <f t="shared" si="53"/>
        <v>190</v>
      </c>
      <c r="AP310" s="72">
        <f t="shared" si="54"/>
        <v>199</v>
      </c>
      <c r="AQ310" s="71">
        <f t="shared" si="55"/>
        <v>207</v>
      </c>
      <c r="AR310" s="71">
        <f t="shared" si="55"/>
        <v>196</v>
      </c>
      <c r="AS310" s="71">
        <f t="shared" si="59"/>
        <v>205</v>
      </c>
      <c r="AT310" s="71">
        <f t="shared" si="60"/>
        <v>204</v>
      </c>
      <c r="AU310" s="71">
        <f t="shared" si="57"/>
        <v>195</v>
      </c>
      <c r="AV310" s="72">
        <f t="shared" si="56"/>
        <v>150</v>
      </c>
      <c r="AW310" s="72">
        <f>ROUND(W310/VLOOKUP($C310,CapRate,13),0)</f>
        <v>167</v>
      </c>
      <c r="AX310" s="72">
        <f>ROUND(X310/VLOOKUP($C310,CapRate,14),0)</f>
        <v>189</v>
      </c>
      <c r="AY310" s="72">
        <f>ROUND(Y310/VLOOKUP($C310,CapRate,15),0)</f>
        <v>212</v>
      </c>
      <c r="AZ310" s="72">
        <f>ROUND(Z310/VLOOKUP($C310,CapRate,16),0)</f>
        <v>241</v>
      </c>
      <c r="BA310" s="72">
        <f>ROUND(AA310/VLOOKUP($C310,CapRate,17),0)</f>
        <v>272</v>
      </c>
      <c r="BB310" s="72">
        <f>ROUND(AB310/VLOOKUP($C310,CapRate,18),0)</f>
        <v>293</v>
      </c>
      <c r="BC310" s="72">
        <f>ROUND(AC310/VLOOKUP($C310,CapRate,19),0)</f>
        <v>305</v>
      </c>
      <c r="BD310" s="72">
        <f>ROUND(AD310/VLOOKUP($C310,CapRate,20),0)</f>
        <v>303</v>
      </c>
      <c r="BE310" s="72">
        <f>ROUND(AE310/VLOOKUP($C310,CapRate,21),0)</f>
        <v>294</v>
      </c>
      <c r="BF310" s="72">
        <f>ROUND(AF310/VLOOKUP($C310,CapRate,22),0)</f>
        <v>301</v>
      </c>
      <c r="BG310" s="72">
        <f>ROUND(AG310/VLOOKUP($C310,CapRate,23),0)</f>
        <v>309</v>
      </c>
      <c r="BH310" s="72">
        <f>ROUND(AH310/VLOOKUP($C310,CapRate,24),0)</f>
        <v>294</v>
      </c>
      <c r="BI310" s="72">
        <f>ROUND(AI310/VLOOKUP($C310,CapRate,25),0)</f>
        <v>248</v>
      </c>
      <c r="BJ310" s="72">
        <f>ROUND(AJ310/VLOOKUP($C310,CapRate,26),0)</f>
        <v>232</v>
      </c>
      <c r="BK310" s="87">
        <f t="shared" si="58"/>
        <v>-6.4516129032258118E-2</v>
      </c>
      <c r="BL310" s="231">
        <f>((F308*BK308)+(F309*BK309)+(F310*BK310))</f>
        <v>8.2923228927037664E-3</v>
      </c>
      <c r="BM310" s="218"/>
      <c r="BN310" s="77">
        <f>BK310</f>
        <v>-6.4516129032258118E-2</v>
      </c>
      <c r="BO310" s="77"/>
      <c r="BP310" s="77"/>
    </row>
    <row r="311" spans="1:77" s="9" customFormat="1" ht="15.9" customHeight="1" thickTop="1">
      <c r="A311" s="8" t="s">
        <v>138</v>
      </c>
      <c r="B311" s="22"/>
      <c r="C311" s="8" t="s">
        <v>152</v>
      </c>
      <c r="D311" s="23" t="s">
        <v>152</v>
      </c>
      <c r="E311" s="8" t="s">
        <v>39</v>
      </c>
      <c r="F311" s="188">
        <f>[1]AcreSummary!M92</f>
        <v>0.56896384920016774</v>
      </c>
      <c r="G311" s="25"/>
      <c r="H311" s="117"/>
      <c r="I311" s="57">
        <f>[1]Native!E90</f>
        <v>9.3800000000000008</v>
      </c>
      <c r="J311" s="58">
        <f>[1]Native!F90</f>
        <v>10.61</v>
      </c>
      <c r="K311" s="80">
        <f>[1]Native!G90</f>
        <v>10.88</v>
      </c>
      <c r="L311" s="68">
        <f>[1]Native!H90</f>
        <v>11.06</v>
      </c>
      <c r="M311" s="58">
        <f>[1]Native!I90</f>
        <v>11.5</v>
      </c>
      <c r="N311" s="81">
        <f>[1]Native!J90</f>
        <v>12</v>
      </c>
      <c r="O311" s="62">
        <v>10.07</v>
      </c>
      <c r="P311" s="81">
        <f>[1]Native!K90</f>
        <v>12.42</v>
      </c>
      <c r="Q311" s="82">
        <f>[1]Native!L90</f>
        <v>12.68</v>
      </c>
      <c r="R311" s="83">
        <v>12.68</v>
      </c>
      <c r="S311" s="84">
        <f>[1]Native!M90</f>
        <v>12.21</v>
      </c>
      <c r="T311" s="66">
        <f>[1]Native!N90</f>
        <v>12.43</v>
      </c>
      <c r="U311" s="67">
        <f>[1]Native!O90</f>
        <v>12.5</v>
      </c>
      <c r="V311" s="68">
        <f>[1]Native!P90</f>
        <v>8.1300000000000008</v>
      </c>
      <c r="W311" s="68">
        <f>[1]Native!Q90</f>
        <v>7.26</v>
      </c>
      <c r="X311" s="68">
        <v>7.06</v>
      </c>
      <c r="Y311" s="68">
        <v>6.86</v>
      </c>
      <c r="Z311" s="68">
        <v>7.83</v>
      </c>
      <c r="AA311" s="68">
        <v>9.16</v>
      </c>
      <c r="AB311" s="68">
        <v>10.19</v>
      </c>
      <c r="AC311" s="68">
        <v>11.19</v>
      </c>
      <c r="AD311" s="68">
        <v>13.23</v>
      </c>
      <c r="AE311" s="68">
        <v>14.72</v>
      </c>
      <c r="AF311" s="68">
        <v>15.46</v>
      </c>
      <c r="AG311" s="69">
        <v>16.22</v>
      </c>
      <c r="AH311" s="70">
        <v>16.940000000000001</v>
      </c>
      <c r="AI311" s="70">
        <v>17.09</v>
      </c>
      <c r="AJ311" s="70">
        <v>17.66</v>
      </c>
      <c r="AK311" s="8">
        <f t="shared" si="49"/>
        <v>71</v>
      </c>
      <c r="AL311" s="8">
        <f t="shared" si="50"/>
        <v>74</v>
      </c>
      <c r="AM311" s="85">
        <f t="shared" si="51"/>
        <v>74</v>
      </c>
      <c r="AN311" s="23">
        <f t="shared" si="52"/>
        <v>79</v>
      </c>
      <c r="AO311" s="85">
        <f t="shared" si="53"/>
        <v>72</v>
      </c>
      <c r="AP311" s="72">
        <f t="shared" si="54"/>
        <v>90</v>
      </c>
      <c r="AQ311" s="71">
        <f t="shared" si="55"/>
        <v>92</v>
      </c>
      <c r="AR311" s="71">
        <f t="shared" si="55"/>
        <v>92</v>
      </c>
      <c r="AS311" s="71">
        <f t="shared" si="59"/>
        <v>89</v>
      </c>
      <c r="AT311" s="71">
        <f t="shared" si="60"/>
        <v>90</v>
      </c>
      <c r="AU311" s="71">
        <f t="shared" si="57"/>
        <v>90</v>
      </c>
      <c r="AV311" s="72">
        <f t="shared" si="56"/>
        <v>57</v>
      </c>
      <c r="AW311" s="72">
        <f>ROUND(W311/VLOOKUP($C311,CapRate,13),0)</f>
        <v>50</v>
      </c>
      <c r="AX311" s="122">
        <f>IF(ROUND(X311/VLOOKUP($C311,CapRate,14),0)&gt;10,X311/VLOOKUP($C311,CapRate,14),10)</f>
        <v>48.858131487889274</v>
      </c>
      <c r="AY311" s="122">
        <f>IF(ROUND(Y311/VLOOKUP($C311,CapRate,15),0)&gt;10,Y311/VLOOKUP($C311,CapRate,15),10)</f>
        <v>46.922024623803011</v>
      </c>
      <c r="AZ311" s="122">
        <f>IF(ROUND(Z311/VLOOKUP($C311,CapRate,16),0)&gt;10,Z311/VLOOKUP($C311,CapRate,16),10)</f>
        <v>53.301565690946219</v>
      </c>
      <c r="BA311" s="122">
        <f>IF(ROUND(AA311/VLOOKUP($C311,CapRate,17),0)&gt;10,AA311/VLOOKUP($C311,CapRate,17),10)</f>
        <v>61.725067385444746</v>
      </c>
      <c r="BB311" s="122">
        <f>IF(ROUND(AB311/VLOOKUP($C311,CapRate,18),0)&gt;10,AB311/VLOOKUP($C311,CapRate,18),10)</f>
        <v>68.206157965194109</v>
      </c>
      <c r="BC311" s="122">
        <f>IF(ROUND(AC311/VLOOKUP($C311,CapRate,19),0)&gt;10,AC311/VLOOKUP($C311,CapRate,19),10)</f>
        <v>74.451097804391225</v>
      </c>
      <c r="BD311" s="122">
        <f>IF(ROUND(AD311/VLOOKUP($C311,CapRate,20),0)&gt;10,AD311/VLOOKUP($C311,CapRate,20),10)</f>
        <v>87.557908669755122</v>
      </c>
      <c r="BE311" s="122">
        <f>IF(ROUND(AE311/VLOOKUP($C311,CapRate,21),0)&gt;10,AE311/VLOOKUP($C311,CapRate,21),10)</f>
        <v>96.969696969696983</v>
      </c>
      <c r="BF311" s="122">
        <f>IF(ROUND(AF311/VLOOKUP($C311,CapRate,22),0)&gt;10,AF311/VLOOKUP($C311,CapRate,22),10)</f>
        <v>101.57687253613666</v>
      </c>
      <c r="BG311" s="122">
        <f>IF(ROUND(AG311/VLOOKUP($C311,CapRate,23),0)&gt;10,AG311/VLOOKUP($C311,CapRate,23),10)</f>
        <v>106.50032829940906</v>
      </c>
      <c r="BH311" s="122">
        <f>IF(ROUND(AH311/VLOOKUP($C311,CapRate,24),0)&gt;10,AH311/VLOOKUP($C311,CapRate,24),10)</f>
        <v>111.30091984231275</v>
      </c>
      <c r="BI311" s="122">
        <f>IF(ROUND(AI311/VLOOKUP($C311,CapRate,25),0)&gt;10,AI311/VLOOKUP($C311,CapRate,25),10)</f>
        <v>112.43421052631579</v>
      </c>
      <c r="BJ311" s="122">
        <f>IF(ROUND(AJ311/VLOOKUP($C311,CapRate,26),0)&gt;10,AJ311/VLOOKUP($C311,CapRate,26),10)</f>
        <v>116.41397495056032</v>
      </c>
      <c r="BK311" s="75">
        <f t="shared" si="58"/>
        <v>3.5396383410483789E-2</v>
      </c>
      <c r="BL311" s="76"/>
      <c r="BM311" s="219">
        <f>BK311</f>
        <v>3.5396383410483789E-2</v>
      </c>
      <c r="BN311" s="220"/>
      <c r="BO311" s="220"/>
      <c r="BP311" s="220"/>
      <c r="BQ311" s="8"/>
      <c r="BS311" s="2"/>
      <c r="BT311" s="2"/>
      <c r="BU311" s="2"/>
      <c r="BV311" s="2"/>
      <c r="BW311" s="2"/>
      <c r="BX311" s="2"/>
      <c r="BY311" s="10"/>
    </row>
    <row r="312" spans="1:77" s="9" customFormat="1" ht="15.9" customHeight="1">
      <c r="A312" s="8"/>
      <c r="B312" s="22"/>
      <c r="C312" s="8" t="s">
        <v>152</v>
      </c>
      <c r="D312" s="23"/>
      <c r="E312" s="8" t="s">
        <v>85</v>
      </c>
      <c r="F312" s="188">
        <f>[1]AcreSummary!L92</f>
        <v>9.4452089776495551E-2</v>
      </c>
      <c r="G312" s="25"/>
      <c r="H312" s="117"/>
      <c r="I312" s="57"/>
      <c r="J312" s="58">
        <f>[1]Tame!D59</f>
        <v>13.47</v>
      </c>
      <c r="K312" s="80">
        <f>[1]Tame!E59</f>
        <v>13.04</v>
      </c>
      <c r="L312" s="68">
        <f>[1]Tame!F59</f>
        <v>12.63</v>
      </c>
      <c r="M312" s="58">
        <f>[1]Tame!G59</f>
        <v>12.41</v>
      </c>
      <c r="N312" s="81">
        <f>[1]Tame!H59</f>
        <v>12.24</v>
      </c>
      <c r="O312" s="62">
        <v>11.91</v>
      </c>
      <c r="P312" s="81">
        <f>[1]Tame!I59</f>
        <v>11.97</v>
      </c>
      <c r="Q312" s="82">
        <f>[1]Tame!J59</f>
        <v>11.96</v>
      </c>
      <c r="R312" s="83">
        <v>11.96</v>
      </c>
      <c r="S312" s="84">
        <f>[1]Tame!K59</f>
        <v>11.71</v>
      </c>
      <c r="T312" s="66">
        <f>[1]Tame!L59</f>
        <v>11.21</v>
      </c>
      <c r="U312" s="67">
        <f>[1]Tame!M59</f>
        <v>11.49</v>
      </c>
      <c r="V312" s="68">
        <f>[1]Tame!N59</f>
        <v>3.67</v>
      </c>
      <c r="W312" s="68">
        <f>[1]Tame!O59</f>
        <v>2.69</v>
      </c>
      <c r="X312" s="68">
        <v>2.5099999999999998</v>
      </c>
      <c r="Y312" s="68">
        <v>2.3199999999999998</v>
      </c>
      <c r="Z312" s="68">
        <v>4.22</v>
      </c>
      <c r="AA312" s="68">
        <v>6.48</v>
      </c>
      <c r="AB312" s="68">
        <v>8.57</v>
      </c>
      <c r="AC312" s="68">
        <v>0</v>
      </c>
      <c r="AD312" s="68">
        <v>12.17</v>
      </c>
      <c r="AE312" s="68">
        <v>13.96</v>
      </c>
      <c r="AF312" s="68">
        <v>14.96</v>
      </c>
      <c r="AG312" s="69">
        <v>15.99</v>
      </c>
      <c r="AH312" s="70">
        <v>16.96</v>
      </c>
      <c r="AI312" s="70">
        <v>17.440000000000001</v>
      </c>
      <c r="AJ312" s="70">
        <v>18.28</v>
      </c>
      <c r="AK312" s="8">
        <f>ROUND(J312/VLOOKUP($C312,CapRate,2),0)</f>
        <v>91</v>
      </c>
      <c r="AL312" s="8">
        <f>ROUND(K312/VLOOKUP($C312,CapRate,3),0)</f>
        <v>88</v>
      </c>
      <c r="AM312" s="85">
        <f>ROUND(L312/VLOOKUP($C312,CapRate,4),0)</f>
        <v>85</v>
      </c>
      <c r="AN312" s="23">
        <f>ROUND(M312/VLOOKUP($C312,CapRate,5),0)</f>
        <v>85</v>
      </c>
      <c r="AO312" s="85">
        <f t="shared" si="53"/>
        <v>85</v>
      </c>
      <c r="AP312" s="72">
        <f t="shared" si="54"/>
        <v>87</v>
      </c>
      <c r="AQ312" s="71">
        <f t="shared" si="55"/>
        <v>87</v>
      </c>
      <c r="AR312" s="71">
        <f t="shared" si="55"/>
        <v>87</v>
      </c>
      <c r="AS312" s="71">
        <f t="shared" si="59"/>
        <v>85</v>
      </c>
      <c r="AT312" s="71">
        <f t="shared" si="60"/>
        <v>81</v>
      </c>
      <c r="AU312" s="71">
        <f t="shared" si="57"/>
        <v>83</v>
      </c>
      <c r="AV312" s="72">
        <f>IF(ROUND(V312/VLOOKUP($C312,CapRate,12),0)&gt;AV311,V312/VLOOKUP($C312,CapRate,12),AV311)</f>
        <v>57</v>
      </c>
      <c r="AW312" s="72">
        <f>IF(ROUND(W312/VLOOKUP($C312,CapRate,13),0)&gt;AW311,W312/VLOOKUP($C312,CapRate,13),AW311)</f>
        <v>50</v>
      </c>
      <c r="AX312" s="72">
        <f>IF(ROUND(X312/VLOOKUP($C312,CapRate,14),0)&gt;AX311,X312/VLOOKUP($C312,CapRate,14),AX311)</f>
        <v>48.858131487889274</v>
      </c>
      <c r="AY312" s="72">
        <f>IF(ROUND(Y312/VLOOKUP($C312,CapRate,15),0)&gt;AY311,Y312/VLOOKUP($C312,CapRate,15),AY311)</f>
        <v>46.922024623803011</v>
      </c>
      <c r="AZ312" s="72">
        <f>IF(ROUND(Z312/VLOOKUP($C312,CapRate,16),0)&gt;AZ311,Z312/VLOOKUP($C312,CapRate,16),AZ311)</f>
        <v>53.301565690946219</v>
      </c>
      <c r="BA312" s="72">
        <f>IF(ROUND(AA312/VLOOKUP($C312,CapRate,17),0)&gt;BA311,AA312/VLOOKUP($C312,CapRate,17),BA311)</f>
        <v>61.725067385444746</v>
      </c>
      <c r="BB312" s="72">
        <f>IF(ROUND(AB312/VLOOKUP($C312,CapRate,18),0)&gt;BB311,AB312/VLOOKUP($C312,CapRate,18),BB311)</f>
        <v>68.206157965194109</v>
      </c>
      <c r="BC312" s="72">
        <f>IF(ROUND(AC312/VLOOKUP($C312,CapRate,19),0)&gt;BC311,AC312/VLOOKUP($C312,CapRate,19),BC311)</f>
        <v>74.451097804391225</v>
      </c>
      <c r="BD312" s="72">
        <f>IF(ROUND(AD312/VLOOKUP($C312,CapRate,20),0)&gt;BD311,AD312/VLOOKUP($C312,CapRate,20),BD311)</f>
        <v>87.557908669755122</v>
      </c>
      <c r="BE312" s="72">
        <f>IF(ROUND(AE312/VLOOKUP($C312,CapRate,21),0)&gt;BE311,AE312/VLOOKUP($C312,CapRate,21),BE311)</f>
        <v>96.969696969696983</v>
      </c>
      <c r="BF312" s="72">
        <f>IF(ROUND(AF312/VLOOKUP($C312,CapRate,22),0)&gt;BF311,AF312/VLOOKUP($C312,CapRate,22),BF311)</f>
        <v>101.57687253613666</v>
      </c>
      <c r="BG312" s="72">
        <f>IF(ROUND(AG312/VLOOKUP($C312,CapRate,23),0)&gt;BG311,AG312/VLOOKUP($C312,CapRate,23),BG311)</f>
        <v>106.50032829940906</v>
      </c>
      <c r="BH312" s="72">
        <f>IF(ROUND(AH312/VLOOKUP($C312,CapRate,24),0)&gt;BH311,AH312/VLOOKUP($C312,CapRate,24),BH311)</f>
        <v>111.30091984231275</v>
      </c>
      <c r="BI312" s="72">
        <f>IF(ROUND(AI312/VLOOKUP($C312,CapRate,25),0)&gt;BI311,AI312/VLOOKUP($C312,CapRate,25),BI311)</f>
        <v>114.73684210526316</v>
      </c>
      <c r="BJ312" s="72">
        <f>IF(ROUND(AJ312/VLOOKUP($C312,CapRate,26),0)&gt;BJ311,AJ312/VLOOKUP($C312,CapRate,26),BJ311)</f>
        <v>120.50098879367172</v>
      </c>
      <c r="BK312" s="87">
        <f t="shared" si="58"/>
        <v>5.0237975724661821E-2</v>
      </c>
      <c r="BL312" s="76"/>
      <c r="BM312" s="77"/>
      <c r="BN312" s="77"/>
      <c r="BO312" s="77"/>
      <c r="BP312" s="77">
        <f>BK312</f>
        <v>5.0237975724661821E-2</v>
      </c>
      <c r="BQ312" s="8"/>
      <c r="BS312" s="2"/>
      <c r="BT312" s="2"/>
      <c r="BU312" s="2"/>
      <c r="BV312" s="2"/>
      <c r="BW312" s="2"/>
      <c r="BX312" s="2"/>
      <c r="BY312" s="10"/>
    </row>
    <row r="313" spans="1:77" s="9" customFormat="1" ht="15.9" customHeight="1" thickBot="1">
      <c r="A313" s="8" t="s">
        <v>138</v>
      </c>
      <c r="B313" s="22"/>
      <c r="C313" s="90" t="s">
        <v>152</v>
      </c>
      <c r="D313" s="91"/>
      <c r="E313" s="90" t="s">
        <v>40</v>
      </c>
      <c r="F313" s="190">
        <f>[1]AcreSummary!J92</f>
        <v>0.33516822991421186</v>
      </c>
      <c r="G313" s="191"/>
      <c r="H313" s="94"/>
      <c r="I313" s="95">
        <f>[1]Dry!E92</f>
        <v>27.04</v>
      </c>
      <c r="J313" s="96">
        <f>[1]Dry!F92</f>
        <v>26.72</v>
      </c>
      <c r="K313" s="97">
        <f>[1]Dry!G92</f>
        <v>28.12</v>
      </c>
      <c r="L313" s="98">
        <f>[1]Dry!H92</f>
        <v>29.94</v>
      </c>
      <c r="M313" s="96">
        <f>[1]Dry!I92</f>
        <v>31.9</v>
      </c>
      <c r="N313" s="99">
        <f>[1]Dry!J92</f>
        <v>33.880000000000003</v>
      </c>
      <c r="O313" s="100">
        <v>33.4</v>
      </c>
      <c r="P313" s="99">
        <f>[1]Dry!K92</f>
        <v>34.33</v>
      </c>
      <c r="Q313" s="101">
        <f>[1]Dry!L92</f>
        <v>34.549999999999997</v>
      </c>
      <c r="R313" s="221">
        <f>Q313*0.95</f>
        <v>32.822499999999998</v>
      </c>
      <c r="S313" s="103">
        <f>[1]Dry!N92</f>
        <v>33.78</v>
      </c>
      <c r="T313" s="104">
        <f>[1]Dry!O92</f>
        <v>32.85</v>
      </c>
      <c r="U313" s="105">
        <f>[1]Dry!P92</f>
        <v>31.29</v>
      </c>
      <c r="V313" s="98">
        <f>[1]Dry!Q92</f>
        <v>24.6</v>
      </c>
      <c r="W313" s="98">
        <f>[1]Dry!R92</f>
        <v>28.81</v>
      </c>
      <c r="X313" s="98">
        <f>[1]Dry!S92</f>
        <v>33.54</v>
      </c>
      <c r="Y313" s="98">
        <f>[1]Dry!T92</f>
        <v>38.14</v>
      </c>
      <c r="Z313" s="98">
        <v>43.57</v>
      </c>
      <c r="AA313" s="98">
        <v>50.45</v>
      </c>
      <c r="AB313" s="98">
        <v>54.74</v>
      </c>
      <c r="AC313" s="98">
        <v>57.6</v>
      </c>
      <c r="AD313" s="98">
        <v>58.33</v>
      </c>
      <c r="AE313" s="98">
        <v>57.33</v>
      </c>
      <c r="AF313" s="98">
        <v>58.71</v>
      </c>
      <c r="AG313" s="106">
        <v>60.65</v>
      </c>
      <c r="AH313" s="107">
        <v>58.22</v>
      </c>
      <c r="AI313" s="107">
        <v>50.24</v>
      </c>
      <c r="AJ313" s="107">
        <v>47.63</v>
      </c>
      <c r="AK313" s="90">
        <f t="shared" si="49"/>
        <v>180</v>
      </c>
      <c r="AL313" s="90">
        <f t="shared" si="50"/>
        <v>190</v>
      </c>
      <c r="AM313" s="108">
        <f t="shared" si="51"/>
        <v>201</v>
      </c>
      <c r="AN313" s="91">
        <f t="shared" si="52"/>
        <v>219</v>
      </c>
      <c r="AO313" s="108">
        <f t="shared" si="53"/>
        <v>240</v>
      </c>
      <c r="AP313" s="109">
        <f t="shared" si="54"/>
        <v>249</v>
      </c>
      <c r="AQ313" s="110">
        <f t="shared" si="55"/>
        <v>250</v>
      </c>
      <c r="AR313" s="222">
        <f t="shared" si="55"/>
        <v>238</v>
      </c>
      <c r="AS313" s="110">
        <f t="shared" si="59"/>
        <v>245</v>
      </c>
      <c r="AT313" s="110">
        <f t="shared" si="60"/>
        <v>238</v>
      </c>
      <c r="AU313" s="110">
        <f t="shared" si="57"/>
        <v>226</v>
      </c>
      <c r="AV313" s="109">
        <f t="shared" si="56"/>
        <v>172</v>
      </c>
      <c r="AW313" s="109">
        <f>ROUND(W313/VLOOKUP($C313,CapRate,13),0)</f>
        <v>200</v>
      </c>
      <c r="AX313" s="72">
        <f>ROUND(X313/VLOOKUP($C313,CapRate,14),0)</f>
        <v>232</v>
      </c>
      <c r="AY313" s="72">
        <f>ROUND(Y313/VLOOKUP($C313,CapRate,15),0)</f>
        <v>261</v>
      </c>
      <c r="AZ313" s="72">
        <f>ROUND(Z313/VLOOKUP($C313,CapRate,16),0)</f>
        <v>297</v>
      </c>
      <c r="BA313" s="72">
        <f>ROUND(AA313/VLOOKUP($C313,CapRate,17),0)</f>
        <v>340</v>
      </c>
      <c r="BB313" s="72">
        <f>ROUND(AB313/VLOOKUP($C313,CapRate,18),0)</f>
        <v>366</v>
      </c>
      <c r="BC313" s="72">
        <f>ROUND(AC313/VLOOKUP($C313,CapRate,19),0)</f>
        <v>383</v>
      </c>
      <c r="BD313" s="72">
        <f>ROUND(AD313/VLOOKUP($C313,CapRate,20),0)</f>
        <v>386</v>
      </c>
      <c r="BE313" s="72">
        <f>ROUND(AE313/VLOOKUP($C313,CapRate,21),0)</f>
        <v>378</v>
      </c>
      <c r="BF313" s="72">
        <f>ROUND(AF313/VLOOKUP($C313,CapRate,22),0)</f>
        <v>386</v>
      </c>
      <c r="BG313" s="72">
        <f>ROUND(AG313/VLOOKUP($C313,CapRate,23),0)</f>
        <v>398</v>
      </c>
      <c r="BH313" s="72">
        <f>ROUND(AH313/VLOOKUP($C313,CapRate,24),0)</f>
        <v>383</v>
      </c>
      <c r="BI313" s="72">
        <f>ROUND(AI313/VLOOKUP($C313,CapRate,25),0)</f>
        <v>331</v>
      </c>
      <c r="BJ313" s="72">
        <f>ROUND(AJ313/VLOOKUP($C313,CapRate,26),0)</f>
        <v>314</v>
      </c>
      <c r="BK313" s="87">
        <f t="shared" si="58"/>
        <v>-5.1359516616314216E-2</v>
      </c>
      <c r="BL313" s="114">
        <f>((F311*BK311)+(F312*BK312)+(F313*BK313))</f>
        <v>7.6702660727893945E-3</v>
      </c>
      <c r="BM313" s="226"/>
      <c r="BN313" s="227">
        <f>BK313</f>
        <v>-5.1359516616314216E-2</v>
      </c>
      <c r="BO313" s="227"/>
      <c r="BP313" s="227"/>
      <c r="BQ313" s="8"/>
      <c r="BS313" s="2"/>
      <c r="BT313" s="2"/>
      <c r="BU313" s="2"/>
      <c r="BV313" s="2"/>
      <c r="BW313" s="2"/>
      <c r="BX313" s="2"/>
      <c r="BY313" s="10"/>
    </row>
    <row r="314" spans="1:77" s="9" customFormat="1" ht="15.9" customHeight="1" thickTop="1">
      <c r="A314" s="8" t="s">
        <v>138</v>
      </c>
      <c r="B314" s="22"/>
      <c r="C314" s="8" t="s">
        <v>153</v>
      </c>
      <c r="D314" s="23" t="s">
        <v>153</v>
      </c>
      <c r="E314" s="8" t="s">
        <v>39</v>
      </c>
      <c r="F314" s="188">
        <f>[1]AcreSummary!M93</f>
        <v>0.43700378918422961</v>
      </c>
      <c r="G314" s="25"/>
      <c r="H314" s="117"/>
      <c r="I314" s="57">
        <f>[1]Native!E91</f>
        <v>10.44</v>
      </c>
      <c r="J314" s="58">
        <f>[1]Native!F91</f>
        <v>9.0500000000000007</v>
      </c>
      <c r="K314" s="80">
        <f>[1]Native!G91</f>
        <v>9.34</v>
      </c>
      <c r="L314" s="68">
        <f>[1]Native!H91</f>
        <v>9.5</v>
      </c>
      <c r="M314" s="58">
        <f>[1]Native!I91</f>
        <v>9.89</v>
      </c>
      <c r="N314" s="81">
        <f>[1]Native!J91</f>
        <v>10.32</v>
      </c>
      <c r="O314" s="62">
        <v>0</v>
      </c>
      <c r="P314" s="81">
        <f>[1]Native!K91</f>
        <v>10.71</v>
      </c>
      <c r="Q314" s="82">
        <f>[1]Native!L91</f>
        <v>10.7</v>
      </c>
      <c r="R314" s="83">
        <v>10.7</v>
      </c>
      <c r="S314" s="84">
        <f>[1]Native!M91</f>
        <v>10.95</v>
      </c>
      <c r="T314" s="66">
        <f>[1]Native!N91</f>
        <v>11.14</v>
      </c>
      <c r="U314" s="67">
        <f>[1]Native!O91</f>
        <v>11.15</v>
      </c>
      <c r="V314" s="68">
        <f>[1]Native!P91</f>
        <v>6.17</v>
      </c>
      <c r="W314" s="68">
        <f>[1]Native!Q91</f>
        <v>5.08</v>
      </c>
      <c r="X314" s="68">
        <v>4.7300000000000004</v>
      </c>
      <c r="Y314" s="68">
        <v>4.37</v>
      </c>
      <c r="Z314" s="68">
        <v>9.4499999999999993</v>
      </c>
      <c r="AA314" s="68">
        <v>10.7</v>
      </c>
      <c r="AB314" s="68">
        <v>6.88</v>
      </c>
      <c r="AC314" s="68">
        <v>7.92</v>
      </c>
      <c r="AD314" s="68">
        <v>9.33</v>
      </c>
      <c r="AE314" s="68">
        <v>10.76</v>
      </c>
      <c r="AF314" s="68">
        <v>11.58</v>
      </c>
      <c r="AG314" s="69">
        <v>12.27</v>
      </c>
      <c r="AH314" s="70">
        <v>12.93</v>
      </c>
      <c r="AI314" s="70">
        <v>13.39</v>
      </c>
      <c r="AJ314" s="70">
        <v>13.88</v>
      </c>
      <c r="AK314" s="8">
        <f t="shared" si="49"/>
        <v>59</v>
      </c>
      <c r="AL314" s="8">
        <f t="shared" si="50"/>
        <v>61</v>
      </c>
      <c r="AM314" s="85">
        <f t="shared" si="51"/>
        <v>62</v>
      </c>
      <c r="AN314" s="23">
        <f t="shared" si="52"/>
        <v>66</v>
      </c>
      <c r="AO314" s="85">
        <f t="shared" si="53"/>
        <v>0</v>
      </c>
      <c r="AP314" s="72">
        <f t="shared" si="54"/>
        <v>75</v>
      </c>
      <c r="AQ314" s="71">
        <f t="shared" si="55"/>
        <v>75</v>
      </c>
      <c r="AR314" s="71">
        <f t="shared" si="55"/>
        <v>75</v>
      </c>
      <c r="AS314" s="71">
        <f t="shared" si="59"/>
        <v>76</v>
      </c>
      <c r="AT314" s="71">
        <f t="shared" si="60"/>
        <v>78</v>
      </c>
      <c r="AU314" s="71">
        <f t="shared" si="57"/>
        <v>78</v>
      </c>
      <c r="AV314" s="72">
        <f t="shared" si="56"/>
        <v>42</v>
      </c>
      <c r="AW314" s="72">
        <f>ROUND(W314/VLOOKUP($C314,CapRate,13),0)</f>
        <v>35</v>
      </c>
      <c r="AX314" s="122">
        <f>IF(ROUND(X314/VLOOKUP($C314,CapRate,14),0)&gt;10,X314/VLOOKUP($C314,CapRate,14),10)</f>
        <v>32.397260273972606</v>
      </c>
      <c r="AY314" s="122">
        <f>IF(ROUND(Y314/VLOOKUP($C314,CapRate,15),0)&gt;10,Y314/VLOOKUP($C314,CapRate,15),10)</f>
        <v>29.829351535836182</v>
      </c>
      <c r="AZ314" s="122">
        <f>IF(ROUND(Z314/VLOOKUP($C314,CapRate,16),0)&gt;10,Z314/VLOOKUP($C314,CapRate,16),10)</f>
        <v>64.329475833900602</v>
      </c>
      <c r="BA314" s="122">
        <f>IF(ROUND(AA314/VLOOKUP($C314,CapRate,17),0)&gt;10,AA314/VLOOKUP($C314,CapRate,17),10)</f>
        <v>72.493224932249319</v>
      </c>
      <c r="BB314" s="122">
        <f>IF(ROUND(AB314/VLOOKUP($C314,CapRate,18),0)&gt;10,AB314/VLOOKUP($C314,CapRate,18),10)</f>
        <v>46.423751686909583</v>
      </c>
      <c r="BC314" s="122">
        <f>IF(ROUND(AC314/VLOOKUP($C314,CapRate,19),0)&gt;10,AC314/VLOOKUP($C314,CapRate,19),10)</f>
        <v>53.261600537995967</v>
      </c>
      <c r="BD314" s="122">
        <f>IF(ROUND(AD314/VLOOKUP($C314,CapRate,20),0)&gt;10,AD314/VLOOKUP($C314,CapRate,20),10)</f>
        <v>62.575452716297782</v>
      </c>
      <c r="BE314" s="122">
        <f>IF(ROUND(AE314/VLOOKUP($C314,CapRate,21),0)&gt;10,AE314/VLOOKUP($C314,CapRate,21),10)</f>
        <v>72.021419009370817</v>
      </c>
      <c r="BF314" s="122">
        <f>IF(ROUND(AF314/VLOOKUP($C314,CapRate,22),0)&gt;10,AF314/VLOOKUP($C314,CapRate,22),10)</f>
        <v>77.354709418837672</v>
      </c>
      <c r="BG314" s="122">
        <f>IF(ROUND(AG314/VLOOKUP($C314,CapRate,23),0)&gt;10,AG314/VLOOKUP($C314,CapRate,23),10)</f>
        <v>81.854569713142084</v>
      </c>
      <c r="BH314" s="122">
        <f>IF(ROUND(AH314/VLOOKUP($C314,CapRate,24),0)&gt;10,AH314/VLOOKUP($C314,CapRate,24),10)</f>
        <v>86.2</v>
      </c>
      <c r="BI314" s="122">
        <f>IF(ROUND(AI314/VLOOKUP($C314,CapRate,25),0)&gt;10,AI314/VLOOKUP($C314,CapRate,25),10)</f>
        <v>89.20719520319787</v>
      </c>
      <c r="BJ314" s="122">
        <f>IF(ROUND(AJ314/VLOOKUP($C314,CapRate,26),0)&gt;10,AJ314/VLOOKUP($C314,CapRate,26),10)</f>
        <v>92.410119840213056</v>
      </c>
      <c r="BK314" s="75">
        <f t="shared" si="58"/>
        <v>3.5904330695741615E-2</v>
      </c>
      <c r="BL314" s="76"/>
      <c r="BM314" s="219">
        <f>BK314</f>
        <v>3.5904330695741615E-2</v>
      </c>
      <c r="BN314" s="220"/>
      <c r="BO314" s="220"/>
      <c r="BP314" s="220"/>
      <c r="BQ314" s="8"/>
      <c r="BS314" s="2"/>
      <c r="BT314" s="2"/>
      <c r="BU314" s="2"/>
      <c r="BV314" s="2"/>
      <c r="BW314" s="2"/>
      <c r="BX314" s="2"/>
      <c r="BY314" s="10"/>
    </row>
    <row r="315" spans="1:77" s="9" customFormat="1" ht="15.9" customHeight="1">
      <c r="A315" s="8"/>
      <c r="B315" s="22"/>
      <c r="C315" s="8" t="s">
        <v>153</v>
      </c>
      <c r="D315" s="23"/>
      <c r="E315" s="8" t="s">
        <v>85</v>
      </c>
      <c r="F315" s="188">
        <f>[1]AcreSummary!L93</f>
        <v>0.15376059008510867</v>
      </c>
      <c r="G315" s="25"/>
      <c r="H315" s="117"/>
      <c r="I315" s="57"/>
      <c r="J315" s="58">
        <f>[1]Tame!D60</f>
        <v>11.77</v>
      </c>
      <c r="K315" s="80">
        <f>[1]Tame!E60</f>
        <v>11.41</v>
      </c>
      <c r="L315" s="68">
        <f>[1]Tame!F60</f>
        <v>11.06</v>
      </c>
      <c r="M315" s="58">
        <f>[1]Tame!G60</f>
        <v>10.9</v>
      </c>
      <c r="N315" s="81">
        <f>[1]Tame!H60</f>
        <v>10.71</v>
      </c>
      <c r="O315" s="62">
        <v>0</v>
      </c>
      <c r="P315" s="81">
        <f>[1]Tame!I60</f>
        <v>10.44</v>
      </c>
      <c r="Q315" s="82">
        <f>[1]Tame!J60</f>
        <v>10.34</v>
      </c>
      <c r="R315" s="83">
        <v>10.34</v>
      </c>
      <c r="S315" s="84">
        <f>[1]Tame!K60</f>
        <v>10.119999999999999</v>
      </c>
      <c r="T315" s="66">
        <f>[1]Tame!L60</f>
        <v>9.67</v>
      </c>
      <c r="U315" s="67">
        <f>[1]Tame!M60</f>
        <v>9.9</v>
      </c>
      <c r="V315" s="68">
        <f>[1]Tame!N60</f>
        <v>1.75</v>
      </c>
      <c r="W315" s="68">
        <f>[1]Tame!O60</f>
        <v>0.67</v>
      </c>
      <c r="X315" s="68">
        <v>0.38</v>
      </c>
      <c r="Y315" s="68">
        <v>0.86</v>
      </c>
      <c r="Z315" s="68">
        <v>1.87</v>
      </c>
      <c r="AA315" s="68">
        <v>3.57</v>
      </c>
      <c r="AB315" s="68">
        <v>5.58</v>
      </c>
      <c r="AC315" s="68">
        <v>7.59</v>
      </c>
      <c r="AD315" s="68">
        <v>9.0299999999999994</v>
      </c>
      <c r="AE315" s="68">
        <v>10.77</v>
      </c>
      <c r="AF315" s="68">
        <v>11.79</v>
      </c>
      <c r="AG315" s="69">
        <v>12.75</v>
      </c>
      <c r="AH315" s="70">
        <v>13.66</v>
      </c>
      <c r="AI315" s="70">
        <v>14.46</v>
      </c>
      <c r="AJ315" s="70">
        <v>15.24</v>
      </c>
      <c r="AK315" s="8">
        <f>ROUND(J315/VLOOKUP($C315,CapRate,2),0)</f>
        <v>77</v>
      </c>
      <c r="AL315" s="8">
        <f>ROUND(K315/VLOOKUP($C315,CapRate,3),0)</f>
        <v>75</v>
      </c>
      <c r="AM315" s="85">
        <f>ROUND(L315/VLOOKUP($C315,CapRate,4),0)</f>
        <v>72</v>
      </c>
      <c r="AN315" s="23">
        <f>ROUND(M315/VLOOKUP($C315,CapRate,5),0)</f>
        <v>73</v>
      </c>
      <c r="AO315" s="85">
        <f t="shared" si="53"/>
        <v>0</v>
      </c>
      <c r="AP315" s="72">
        <f t="shared" si="54"/>
        <v>73</v>
      </c>
      <c r="AQ315" s="71">
        <f t="shared" si="55"/>
        <v>72</v>
      </c>
      <c r="AR315" s="71">
        <f t="shared" si="55"/>
        <v>72</v>
      </c>
      <c r="AS315" s="71">
        <f t="shared" si="59"/>
        <v>71</v>
      </c>
      <c r="AT315" s="71">
        <f t="shared" si="60"/>
        <v>67</v>
      </c>
      <c r="AU315" s="71">
        <f t="shared" si="57"/>
        <v>69</v>
      </c>
      <c r="AV315" s="72">
        <f>IF(ROUND(V315/VLOOKUP($C315,CapRate,12),0)&gt;AV314,V315/VLOOKUP($C315,CapRate,12),AV314)</f>
        <v>42</v>
      </c>
      <c r="AW315" s="72">
        <f>IF(ROUND(W315/VLOOKUP($C315,CapRate,13),0)&gt;AW314,W315/VLOOKUP($C315,CapRate,13),AW314)</f>
        <v>35</v>
      </c>
      <c r="AX315" s="72">
        <f>IF(ROUND(X315/VLOOKUP($C315,CapRate,14),0)&gt;AX314,X315/VLOOKUP($C315,CapRate,14),AX314)</f>
        <v>32.397260273972606</v>
      </c>
      <c r="AY315" s="72">
        <f>IF(ROUND(Y315/VLOOKUP($C315,CapRate,15),0)&gt;AY314,Y315/VLOOKUP($C315,CapRate,15),AY314)</f>
        <v>29.829351535836182</v>
      </c>
      <c r="AZ315" s="72">
        <f>IF(ROUND(Z315/VLOOKUP($C315,CapRate,16),0)&gt;AZ314,Z315/VLOOKUP($C315,CapRate,16),AZ314)</f>
        <v>64.329475833900602</v>
      </c>
      <c r="BA315" s="72">
        <f>IF(ROUND(AA315/VLOOKUP($C315,CapRate,17),0)&gt;BA314,AA315/VLOOKUP($C315,CapRate,17),BA314)</f>
        <v>72.493224932249319</v>
      </c>
      <c r="BB315" s="72">
        <f>IF(ROUND(AB315/VLOOKUP($C315,CapRate,18),0)&gt;BB314,AB315/VLOOKUP($C315,CapRate,18),BB314)</f>
        <v>46.423751686909583</v>
      </c>
      <c r="BC315" s="72">
        <f>IF(ROUND(AC315/VLOOKUP($C315,CapRate,19),0)&gt;BC314,AC315/VLOOKUP($C315,CapRate,19),BC314)</f>
        <v>53.261600537995967</v>
      </c>
      <c r="BD315" s="72">
        <f>IF(ROUND(AD315/VLOOKUP($C315,CapRate,20),0)&gt;BD314,AD315/VLOOKUP($C315,CapRate,20),BD314)</f>
        <v>62.575452716297782</v>
      </c>
      <c r="BE315" s="72">
        <f>IF(ROUND(AE315/VLOOKUP($C315,CapRate,21),0)&gt;BE314,AE315/VLOOKUP($C315,CapRate,21),BE314)</f>
        <v>72.021419009370817</v>
      </c>
      <c r="BF315" s="72">
        <f>IF(ROUND(AF315/VLOOKUP($C315,CapRate,22),0)&gt;BF314,AF315/VLOOKUP($C315,CapRate,22),BF314)</f>
        <v>78.757515030060119</v>
      </c>
      <c r="BG315" s="72">
        <f>IF(ROUND(AG315/VLOOKUP($C315,CapRate,23),0)&gt;BG314,AG315/VLOOKUP($C315,CapRate,23),BG314)</f>
        <v>85.056704469646434</v>
      </c>
      <c r="BH315" s="72">
        <f>IF(ROUND(AH315/VLOOKUP($C315,CapRate,24),0)&gt;BH314,AH315/VLOOKUP($C315,CapRate,24),BH314)</f>
        <v>91.066666666666677</v>
      </c>
      <c r="BI315" s="72">
        <f>IF(ROUND(AI315/VLOOKUP($C315,CapRate,25),0)&gt;BI314,AI315/VLOOKUP($C315,CapRate,25),BI314)</f>
        <v>96.335776149233837</v>
      </c>
      <c r="BJ315" s="72">
        <f>IF(ROUND(AJ315/VLOOKUP($C315,CapRate,26),0)&gt;BJ314,AJ315/VLOOKUP($C315,CapRate,26),BJ314)</f>
        <v>101.4647137150466</v>
      </c>
      <c r="BK315" s="87">
        <f t="shared" si="58"/>
        <v>5.3240216364349724E-2</v>
      </c>
      <c r="BL315" s="76"/>
      <c r="BM315" s="77"/>
      <c r="BN315" s="77"/>
      <c r="BO315" s="77"/>
      <c r="BP315" s="77">
        <f>BK315</f>
        <v>5.3240216364349724E-2</v>
      </c>
      <c r="BQ315" s="8"/>
      <c r="BS315" s="2"/>
      <c r="BT315" s="2"/>
      <c r="BU315" s="2"/>
      <c r="BV315" s="2"/>
      <c r="BW315" s="2"/>
      <c r="BX315" s="2"/>
      <c r="BY315" s="10"/>
    </row>
    <row r="316" spans="1:77" s="9" customFormat="1" ht="15.9" customHeight="1" thickBot="1">
      <c r="A316" s="8" t="s">
        <v>138</v>
      </c>
      <c r="B316" s="22"/>
      <c r="C316" s="90" t="s">
        <v>153</v>
      </c>
      <c r="D316" s="91"/>
      <c r="E316" s="90" t="s">
        <v>40</v>
      </c>
      <c r="F316" s="190">
        <f>[1]AcreSummary!J93</f>
        <v>0.34153580629057317</v>
      </c>
      <c r="G316" s="191"/>
      <c r="H316" s="94"/>
      <c r="I316" s="95">
        <f>[1]Dry!E93</f>
        <v>33.5</v>
      </c>
      <c r="J316" s="96">
        <f>[1]Dry!F93</f>
        <v>25.53</v>
      </c>
      <c r="K316" s="97">
        <f>[1]Dry!G93</f>
        <v>26.94</v>
      </c>
      <c r="L316" s="98">
        <f>[1]Dry!H93</f>
        <v>29.1</v>
      </c>
      <c r="M316" s="96">
        <f>[1]Dry!I93</f>
        <v>31.66</v>
      </c>
      <c r="N316" s="99">
        <f>[1]Dry!J93</f>
        <v>34.229999999999997</v>
      </c>
      <c r="O316" s="100">
        <v>0</v>
      </c>
      <c r="P316" s="99">
        <f>[1]Dry!K93</f>
        <v>35.94</v>
      </c>
      <c r="Q316" s="101">
        <f>[1]Dry!L93</f>
        <v>37.4</v>
      </c>
      <c r="R316" s="221">
        <f>Q316*0.95</f>
        <v>35.529999999999994</v>
      </c>
      <c r="S316" s="103">
        <f>[1]Dry!N93</f>
        <v>38.21</v>
      </c>
      <c r="T316" s="104">
        <f>[1]Dry!O93</f>
        <v>39.03</v>
      </c>
      <c r="U316" s="105">
        <f>[1]Dry!P93</f>
        <v>38.11</v>
      </c>
      <c r="V316" s="98">
        <f>[1]Dry!Q93</f>
        <v>34.340000000000003</v>
      </c>
      <c r="W316" s="98">
        <f>[1]Dry!R93</f>
        <v>38.97</v>
      </c>
      <c r="X316" s="98">
        <f>[1]Dry!S93</f>
        <v>45.23</v>
      </c>
      <c r="Y316" s="98">
        <f>[1]Dry!T93</f>
        <v>51.05</v>
      </c>
      <c r="Z316" s="98">
        <v>57.74</v>
      </c>
      <c r="AA316" s="98">
        <v>70.180000000000007</v>
      </c>
      <c r="AB316" s="98">
        <v>75.89</v>
      </c>
      <c r="AC316" s="98">
        <v>79.55</v>
      </c>
      <c r="AD316" s="98">
        <v>81.09</v>
      </c>
      <c r="AE316" s="98">
        <v>80.510000000000005</v>
      </c>
      <c r="AF316" s="98">
        <v>82.1</v>
      </c>
      <c r="AG316" s="106">
        <v>83.7</v>
      </c>
      <c r="AH316" s="107">
        <v>81.11</v>
      </c>
      <c r="AI316" s="107">
        <v>73.34</v>
      </c>
      <c r="AJ316" s="107">
        <v>70.290000000000006</v>
      </c>
      <c r="AK316" s="90">
        <f t="shared" si="49"/>
        <v>167</v>
      </c>
      <c r="AL316" s="90">
        <f t="shared" si="50"/>
        <v>177</v>
      </c>
      <c r="AM316" s="108">
        <f t="shared" si="51"/>
        <v>190</v>
      </c>
      <c r="AN316" s="91">
        <f t="shared" si="52"/>
        <v>211</v>
      </c>
      <c r="AO316" s="108">
        <f t="shared" si="53"/>
        <v>0</v>
      </c>
      <c r="AP316" s="109">
        <f t="shared" si="54"/>
        <v>252</v>
      </c>
      <c r="AQ316" s="110">
        <f t="shared" si="55"/>
        <v>261</v>
      </c>
      <c r="AR316" s="222">
        <f t="shared" si="55"/>
        <v>248</v>
      </c>
      <c r="AS316" s="110">
        <f t="shared" si="59"/>
        <v>267</v>
      </c>
      <c r="AT316" s="110">
        <f t="shared" si="60"/>
        <v>272</v>
      </c>
      <c r="AU316" s="110">
        <f t="shared" si="57"/>
        <v>266</v>
      </c>
      <c r="AV316" s="109">
        <f t="shared" si="56"/>
        <v>236</v>
      </c>
      <c r="AW316" s="109">
        <f>ROUND(W316/VLOOKUP($C316,CapRate,13),0)</f>
        <v>267</v>
      </c>
      <c r="AX316" s="72">
        <f>ROUND(X316/VLOOKUP($C316,CapRate,14),0)</f>
        <v>310</v>
      </c>
      <c r="AY316" s="72">
        <f>ROUND(Y316/VLOOKUP($C316,CapRate,15),0)</f>
        <v>348</v>
      </c>
      <c r="AZ316" s="72">
        <f>ROUND(Z316/VLOOKUP($C316,CapRate,16),0)</f>
        <v>393</v>
      </c>
      <c r="BA316" s="72">
        <f>ROUND(AA316/VLOOKUP($C316,CapRate,17),0)</f>
        <v>475</v>
      </c>
      <c r="BB316" s="72">
        <f>ROUND(AB316/VLOOKUP($C316,CapRate,18),0)</f>
        <v>512</v>
      </c>
      <c r="BC316" s="72">
        <f>ROUND(AC316/VLOOKUP($C316,CapRate,19),0)</f>
        <v>535</v>
      </c>
      <c r="BD316" s="72">
        <f>ROUND(AD316/VLOOKUP($C316,CapRate,20),0)</f>
        <v>544</v>
      </c>
      <c r="BE316" s="72">
        <f>ROUND(AE316/VLOOKUP($C316,CapRate,21),0)</f>
        <v>539</v>
      </c>
      <c r="BF316" s="72">
        <f>ROUND(AF316/VLOOKUP($C316,CapRate,22),0)</f>
        <v>548</v>
      </c>
      <c r="BG316" s="72">
        <f>ROUND(AG316/VLOOKUP($C316,CapRate,23),0)</f>
        <v>558</v>
      </c>
      <c r="BH316" s="72">
        <f>ROUND(AH316/VLOOKUP($C316,CapRate,24),0)</f>
        <v>541</v>
      </c>
      <c r="BI316" s="72">
        <f>ROUND(AI316/VLOOKUP($C316,CapRate,25),0)</f>
        <v>489</v>
      </c>
      <c r="BJ316" s="72">
        <f>ROUND(AJ316/VLOOKUP($C316,CapRate,26),0)</f>
        <v>468</v>
      </c>
      <c r="BK316" s="87">
        <f t="shared" si="58"/>
        <v>-4.2944785276073594E-2</v>
      </c>
      <c r="BL316" s="114">
        <f>((F314*BK314)+(F315*BK315)+(F316*BK316))</f>
        <v>9.2093937813646741E-3</v>
      </c>
      <c r="BM316" s="226"/>
      <c r="BN316" s="227">
        <f>BK316</f>
        <v>-4.2944785276073594E-2</v>
      </c>
      <c r="BO316" s="227"/>
      <c r="BP316" s="227"/>
      <c r="BQ316" s="8"/>
      <c r="BS316" s="2"/>
      <c r="BT316" s="2"/>
      <c r="BU316" s="2"/>
      <c r="BV316" s="2"/>
      <c r="BW316" s="2"/>
      <c r="BX316" s="2"/>
      <c r="BY316" s="10"/>
    </row>
    <row r="317" spans="1:77" s="9" customFormat="1" ht="15.9" customHeight="1" thickTop="1">
      <c r="A317" s="8" t="s">
        <v>138</v>
      </c>
      <c r="B317" s="22"/>
      <c r="C317" s="8" t="s">
        <v>154</v>
      </c>
      <c r="D317" s="23" t="s">
        <v>154</v>
      </c>
      <c r="E317" s="8" t="s">
        <v>39</v>
      </c>
      <c r="F317" s="188">
        <f>[1]AcreSummary!M94</f>
        <v>0.75324738741283392</v>
      </c>
      <c r="G317" s="25"/>
      <c r="H317" s="117"/>
      <c r="I317" s="57">
        <f>[1]Native!E92</f>
        <v>7.36</v>
      </c>
      <c r="J317" s="58">
        <f>[1]Native!F92</f>
        <v>7.2</v>
      </c>
      <c r="K317" s="80">
        <f>[1]Native!G92</f>
        <v>7.49</v>
      </c>
      <c r="L317" s="68">
        <f>[1]Native!H92</f>
        <v>7.73</v>
      </c>
      <c r="M317" s="58">
        <f>[1]Native!I92</f>
        <v>8.18</v>
      </c>
      <c r="N317" s="81">
        <f>[1]Native!J92</f>
        <v>8.66</v>
      </c>
      <c r="O317" s="62">
        <v>8.73</v>
      </c>
      <c r="P317" s="81">
        <f>[1]Native!K92</f>
        <v>9.11</v>
      </c>
      <c r="Q317" s="82">
        <f>[1]Native!L92</f>
        <v>9.43</v>
      </c>
      <c r="R317" s="83">
        <v>9.43</v>
      </c>
      <c r="S317" s="84">
        <f>[1]Native!M92</f>
        <v>9.77</v>
      </c>
      <c r="T317" s="66">
        <f>[1]Native!N92</f>
        <v>10.050000000000001</v>
      </c>
      <c r="U317" s="67">
        <f>[1]Native!O92</f>
        <v>10.130000000000001</v>
      </c>
      <c r="V317" s="68">
        <f>[1]Native!P92</f>
        <v>5.23</v>
      </c>
      <c r="W317" s="68">
        <f>[1]Native!Q92</f>
        <v>4.22</v>
      </c>
      <c r="X317" s="68">
        <v>3.87</v>
      </c>
      <c r="Y317" s="68">
        <v>3.49</v>
      </c>
      <c r="Z317" s="68">
        <v>11.45</v>
      </c>
      <c r="AA317" s="68">
        <v>13.28</v>
      </c>
      <c r="AB317" s="68">
        <v>6.82</v>
      </c>
      <c r="AC317" s="68">
        <v>7.86</v>
      </c>
      <c r="AD317" s="68">
        <v>9.27</v>
      </c>
      <c r="AE317" s="68">
        <v>10.72</v>
      </c>
      <c r="AF317" s="68">
        <v>11.39</v>
      </c>
      <c r="AG317" s="69">
        <v>12.09</v>
      </c>
      <c r="AH317" s="70">
        <v>12.75</v>
      </c>
      <c r="AI317" s="70">
        <v>12.85</v>
      </c>
      <c r="AJ317" s="70">
        <v>13.33</v>
      </c>
      <c r="AK317" s="8">
        <f t="shared" si="49"/>
        <v>48</v>
      </c>
      <c r="AL317" s="8">
        <f t="shared" si="50"/>
        <v>50</v>
      </c>
      <c r="AM317" s="85">
        <f t="shared" si="51"/>
        <v>51</v>
      </c>
      <c r="AN317" s="23">
        <f t="shared" si="52"/>
        <v>56</v>
      </c>
      <c r="AO317" s="85">
        <f t="shared" si="53"/>
        <v>62</v>
      </c>
      <c r="AP317" s="72">
        <f t="shared" si="54"/>
        <v>65</v>
      </c>
      <c r="AQ317" s="71">
        <f t="shared" si="55"/>
        <v>67</v>
      </c>
      <c r="AR317" s="71">
        <f t="shared" si="55"/>
        <v>67</v>
      </c>
      <c r="AS317" s="71">
        <f t="shared" si="59"/>
        <v>69</v>
      </c>
      <c r="AT317" s="71">
        <f t="shared" si="60"/>
        <v>71</v>
      </c>
      <c r="AU317" s="71">
        <f t="shared" si="57"/>
        <v>71</v>
      </c>
      <c r="AV317" s="72">
        <f t="shared" si="56"/>
        <v>36</v>
      </c>
      <c r="AW317" s="72">
        <f>ROUND(W317/VLOOKUP($C317,CapRate,13),0)</f>
        <v>28</v>
      </c>
      <c r="AX317" s="122">
        <f>IF(ROUND(X317/VLOOKUP($C317,CapRate,14),0)&gt;10,X317/VLOOKUP($C317,CapRate,14),10)</f>
        <v>26.025554808338939</v>
      </c>
      <c r="AY317" s="122">
        <f>IF(ROUND(Y317/VLOOKUP($C317,CapRate,15),0)&gt;10,Y317/VLOOKUP($C317,CapRate,15),10)</f>
        <v>23.282188125416944</v>
      </c>
      <c r="AZ317" s="122">
        <f>IF(ROUND(Z317/VLOOKUP($C317,CapRate,16),0)&gt;10,Z317/VLOOKUP($C317,CapRate,16),10)</f>
        <v>76.18097139055223</v>
      </c>
      <c r="BA317" s="122">
        <f>IF(ROUND(AA317/VLOOKUP($C317,CapRate,17),0)&gt;10,AA317/VLOOKUP($C317,CapRate,17),10)</f>
        <v>87.59894459102901</v>
      </c>
      <c r="BB317" s="122">
        <f>IF(ROUND(AB317/VLOOKUP($C317,CapRate,18),0)&gt;10,AB317/VLOOKUP($C317,CapRate,18),10)</f>
        <v>44.809461235216823</v>
      </c>
      <c r="BC317" s="122">
        <f>IF(ROUND(AC317/VLOOKUP($C317,CapRate,19),0)&gt;10,AC317/VLOOKUP($C317,CapRate,19),10)</f>
        <v>51.507208387942327</v>
      </c>
      <c r="BD317" s="122">
        <f>IF(ROUND(AD317/VLOOKUP($C317,CapRate,20),0)&gt;10,AD317/VLOOKUP($C317,CapRate,20),10)</f>
        <v>60.627861347285801</v>
      </c>
      <c r="BE317" s="122">
        <f>IF(ROUND(AE317/VLOOKUP($C317,CapRate,21),0)&gt;10,AE317/VLOOKUP($C317,CapRate,21),10)</f>
        <v>70.06535947712419</v>
      </c>
      <c r="BF317" s="122">
        <f>IF(ROUND(AF317/VLOOKUP($C317,CapRate,22),0)&gt;10,AF317/VLOOKUP($C317,CapRate,22),10)</f>
        <v>74.395819725669497</v>
      </c>
      <c r="BG317" s="122">
        <f>IF(ROUND(AG317/VLOOKUP($C317,CapRate,23),0)&gt;10,AG317/VLOOKUP($C317,CapRate,23),10)</f>
        <v>78.967994774657072</v>
      </c>
      <c r="BH317" s="122">
        <f>IF(ROUND(AH317/VLOOKUP($C317,CapRate,24),0)&gt;10,AH317/VLOOKUP($C317,CapRate,24),10)</f>
        <v>83.38783518639633</v>
      </c>
      <c r="BI317" s="122">
        <f>IF(ROUND(AI317/VLOOKUP($C317,CapRate,25),0)&gt;10,AI317/VLOOKUP($C317,CapRate,25),10)</f>
        <v>84.26229508196721</v>
      </c>
      <c r="BJ317" s="122">
        <f>IF(ROUND(AJ317/VLOOKUP($C317,CapRate,26),0)&gt;10,AJ317/VLOOKUP($C317,CapRate,26),10)</f>
        <v>87.639710716633786</v>
      </c>
      <c r="BK317" s="75">
        <f t="shared" si="58"/>
        <v>4.0082169983397087E-2</v>
      </c>
      <c r="BL317" s="76"/>
      <c r="BM317" s="219">
        <f>BK317</f>
        <v>4.0082169983397087E-2</v>
      </c>
      <c r="BN317" s="220"/>
      <c r="BO317" s="220"/>
      <c r="BP317" s="220"/>
      <c r="BQ317" s="8"/>
      <c r="BS317" s="2"/>
      <c r="BT317" s="2"/>
      <c r="BU317" s="2"/>
      <c r="BV317" s="2"/>
      <c r="BW317" s="2"/>
      <c r="BX317" s="2"/>
      <c r="BY317" s="10"/>
    </row>
    <row r="318" spans="1:77" s="9" customFormat="1" ht="15.9" customHeight="1">
      <c r="A318" s="8"/>
      <c r="B318" s="22"/>
      <c r="C318" s="8" t="s">
        <v>154</v>
      </c>
      <c r="D318" s="23"/>
      <c r="E318" s="8" t="s">
        <v>85</v>
      </c>
      <c r="F318" s="188">
        <f>[1]AcreSummary!L94</f>
        <v>6.7884539377270806E-2</v>
      </c>
      <c r="G318" s="25"/>
      <c r="H318" s="117"/>
      <c r="I318" s="57"/>
      <c r="J318" s="58">
        <f>[1]Tame!D61</f>
        <v>11.9</v>
      </c>
      <c r="K318" s="80">
        <f>[1]Tame!E61</f>
        <v>11.57</v>
      </c>
      <c r="L318" s="68">
        <f>[1]Tame!F61</f>
        <v>11.25</v>
      </c>
      <c r="M318" s="58">
        <f>[1]Tame!G61</f>
        <v>11.12</v>
      </c>
      <c r="N318" s="81">
        <f>[1]Tame!H61</f>
        <v>10.92</v>
      </c>
      <c r="O318" s="62">
        <v>11.23</v>
      </c>
      <c r="P318" s="81">
        <f>[1]Tame!I61</f>
        <v>10.65</v>
      </c>
      <c r="Q318" s="82">
        <f>[1]Tame!J61</f>
        <v>10.62</v>
      </c>
      <c r="R318" s="83">
        <v>10.62</v>
      </c>
      <c r="S318" s="84">
        <f>[1]Tame!K61</f>
        <v>10.39</v>
      </c>
      <c r="T318" s="66">
        <f>[1]Tame!L61</f>
        <v>9.94</v>
      </c>
      <c r="U318" s="67">
        <f>[1]Tame!M61</f>
        <v>10.14</v>
      </c>
      <c r="V318" s="68">
        <f>[1]Tame!N61</f>
        <v>2.31</v>
      </c>
      <c r="W318" s="68">
        <f>[1]Tame!O61</f>
        <v>1.4</v>
      </c>
      <c r="X318" s="68">
        <v>1.28</v>
      </c>
      <c r="Y318" s="68">
        <v>1.1499999999999999</v>
      </c>
      <c r="Z318" s="68">
        <v>3.1</v>
      </c>
      <c r="AA318" s="68">
        <v>5.35</v>
      </c>
      <c r="AB318" s="68">
        <v>7.41</v>
      </c>
      <c r="AC318" s="68">
        <v>9.49</v>
      </c>
      <c r="AD318" s="68">
        <v>10.97</v>
      </c>
      <c r="AE318" s="68">
        <v>12.75</v>
      </c>
      <c r="AF318" s="68">
        <v>13.75</v>
      </c>
      <c r="AG318" s="69">
        <v>14.75</v>
      </c>
      <c r="AH318" s="70">
        <v>15.26</v>
      </c>
      <c r="AI318" s="70">
        <v>16.16</v>
      </c>
      <c r="AJ318" s="70">
        <v>16.98</v>
      </c>
      <c r="AK318" s="8">
        <f>ROUND(J318/VLOOKUP($C318,CapRate,2),0)</f>
        <v>80</v>
      </c>
      <c r="AL318" s="8">
        <f>ROUND(K318/VLOOKUP($C318,CapRate,3),0)</f>
        <v>78</v>
      </c>
      <c r="AM318" s="85">
        <f>ROUND(L318/VLOOKUP($C318,CapRate,4),0)</f>
        <v>75</v>
      </c>
      <c r="AN318" s="23">
        <f>ROUND(M318/VLOOKUP($C318,CapRate,5),0)</f>
        <v>75</v>
      </c>
      <c r="AO318" s="85">
        <f t="shared" si="53"/>
        <v>79</v>
      </c>
      <c r="AP318" s="72">
        <f t="shared" si="54"/>
        <v>76</v>
      </c>
      <c r="AQ318" s="71">
        <f t="shared" si="55"/>
        <v>75</v>
      </c>
      <c r="AR318" s="71">
        <f t="shared" si="55"/>
        <v>75</v>
      </c>
      <c r="AS318" s="71">
        <f t="shared" si="59"/>
        <v>74</v>
      </c>
      <c r="AT318" s="71">
        <f t="shared" si="60"/>
        <v>70</v>
      </c>
      <c r="AU318" s="71">
        <f t="shared" si="57"/>
        <v>71</v>
      </c>
      <c r="AV318" s="72">
        <f>IF(ROUND(V318/VLOOKUP($C318,CapRate,12),0)&gt;AV317,V318/VLOOKUP($C318,CapRate,12),AV317)</f>
        <v>36</v>
      </c>
      <c r="AW318" s="72">
        <f>IF(ROUND(W318/VLOOKUP($C318,CapRate,13),0)&gt;AW317,W318/VLOOKUP($C318,CapRate,13),AW317)</f>
        <v>28</v>
      </c>
      <c r="AX318" s="72">
        <f>IF(ROUND(X318/VLOOKUP($C318,CapRate,14),0)&gt;AX317,X318/VLOOKUP($C318,CapRate,14),AX317)</f>
        <v>26.025554808338939</v>
      </c>
      <c r="AY318" s="72">
        <f>IF(ROUND(Y318/VLOOKUP($C318,CapRate,15),0)&gt;AY317,Y318/VLOOKUP($C318,CapRate,15),AY317)</f>
        <v>23.282188125416944</v>
      </c>
      <c r="AZ318" s="72">
        <f>IF(ROUND(Z318/VLOOKUP($C318,CapRate,16),0)&gt;AZ317,Z318/VLOOKUP($C318,CapRate,16),AZ317)</f>
        <v>76.18097139055223</v>
      </c>
      <c r="BA318" s="72">
        <f>IF(ROUND(AA318/VLOOKUP($C318,CapRate,17),0)&gt;BA317,AA318/VLOOKUP($C318,CapRate,17),BA317)</f>
        <v>87.59894459102901</v>
      </c>
      <c r="BB318" s="72">
        <f>IF(ROUND(AB318/VLOOKUP($C318,CapRate,18),0)&gt;BB317,AB318/VLOOKUP($C318,CapRate,18),BB317)</f>
        <v>48.685939553219448</v>
      </c>
      <c r="BC318" s="72">
        <f>IF(ROUND(AC318/VLOOKUP($C318,CapRate,19),0)&gt;BC317,AC318/VLOOKUP($C318,CapRate,19),BC317)</f>
        <v>62.188728702490167</v>
      </c>
      <c r="BD318" s="72">
        <f>IF(ROUND(AD318/VLOOKUP($C318,CapRate,20),0)&gt;BD317,AD318/VLOOKUP($C318,CapRate,20),BD317)</f>
        <v>71.746239372138646</v>
      </c>
      <c r="BE318" s="72">
        <f>IF(ROUND(AE318/VLOOKUP($C318,CapRate,21),0)&gt;BE317,AE318/VLOOKUP($C318,CapRate,21),BE317)</f>
        <v>83.333333333333329</v>
      </c>
      <c r="BF318" s="72">
        <f>IF(ROUND(AF318/VLOOKUP($C318,CapRate,22),0)&gt;BF317,AF318/VLOOKUP($C318,CapRate,22),BF317)</f>
        <v>89.810581319399077</v>
      </c>
      <c r="BG318" s="72">
        <f>IF(ROUND(AG318/VLOOKUP($C318,CapRate,23),0)&gt;BG317,AG318/VLOOKUP($C318,CapRate,23),BG317)</f>
        <v>96.342259960809926</v>
      </c>
      <c r="BH318" s="72">
        <f>IF(ROUND(AH318/VLOOKUP($C318,CapRate,24),0)&gt;BH317,AH318/VLOOKUP($C318,CapRate,24),BH317)</f>
        <v>99.803793328973185</v>
      </c>
      <c r="BI318" s="72">
        <f>IF(ROUND(AI318/VLOOKUP($C318,CapRate,25),0)&gt;BI317,AI318/VLOOKUP($C318,CapRate,25),BI317)</f>
        <v>105.9672131147541</v>
      </c>
      <c r="BJ318" s="72">
        <f>IF(ROUND(AJ318/VLOOKUP($C318,CapRate,26),0)&gt;BJ317,AJ318/VLOOKUP($C318,CapRate,26),BJ317)</f>
        <v>111.63708086785009</v>
      </c>
      <c r="BK318" s="87">
        <f t="shared" si="58"/>
        <v>5.3505868338312945E-2</v>
      </c>
      <c r="BL318" s="76"/>
      <c r="BM318" s="77"/>
      <c r="BN318" s="77"/>
      <c r="BO318" s="77"/>
      <c r="BP318" s="77">
        <f>BK318</f>
        <v>5.3505868338312945E-2</v>
      </c>
      <c r="BQ318" s="8"/>
      <c r="BS318" s="2"/>
      <c r="BT318" s="2"/>
      <c r="BU318" s="2"/>
      <c r="BV318" s="2"/>
      <c r="BW318" s="2"/>
      <c r="BX318" s="2"/>
      <c r="BY318" s="10"/>
    </row>
    <row r="319" spans="1:77" s="9" customFormat="1" ht="15.9" customHeight="1" thickBot="1">
      <c r="A319" s="50" t="s">
        <v>138</v>
      </c>
      <c r="B319" s="194"/>
      <c r="C319" s="90" t="s">
        <v>154</v>
      </c>
      <c r="D319" s="195"/>
      <c r="E319" s="132" t="s">
        <v>40</v>
      </c>
      <c r="F319" s="196">
        <f>[1]AcreSummary!J94</f>
        <v>0.15782814093685452</v>
      </c>
      <c r="G319" s="197"/>
      <c r="H319" s="135"/>
      <c r="I319" s="136">
        <f>[1]Dry!E94</f>
        <v>32.17</v>
      </c>
      <c r="J319" s="137">
        <f>[1]Dry!F94</f>
        <v>30.87</v>
      </c>
      <c r="K319" s="138">
        <f>[1]Dry!G94</f>
        <v>33.28</v>
      </c>
      <c r="L319" s="139">
        <f>[1]Dry!H94</f>
        <v>35.409999999999997</v>
      </c>
      <c r="M319" s="137">
        <f>[1]Dry!I94</f>
        <v>37.090000000000003</v>
      </c>
      <c r="N319" s="140">
        <f>[1]Dry!J94</f>
        <v>38.869999999999997</v>
      </c>
      <c r="O319" s="141">
        <v>38.86</v>
      </c>
      <c r="P319" s="140">
        <f>[1]Dry!K94</f>
        <v>38.94</v>
      </c>
      <c r="Q319" s="142">
        <f>[1]Dry!L94</f>
        <v>38.979999999999997</v>
      </c>
      <c r="R319" s="224">
        <f>Q319*0.95</f>
        <v>37.030999999999999</v>
      </c>
      <c r="S319" s="144">
        <f>[1]Dry!N94</f>
        <v>38.020000000000003</v>
      </c>
      <c r="T319" s="145">
        <f>[1]Dry!O94</f>
        <v>36.99</v>
      </c>
      <c r="U319" s="146">
        <f>[1]Dry!P94</f>
        <v>35.08</v>
      </c>
      <c r="V319" s="139">
        <f>[1]Dry!Q94</f>
        <v>31.5</v>
      </c>
      <c r="W319" s="139">
        <f>[1]Dry!R94</f>
        <v>36.119999999999997</v>
      </c>
      <c r="X319" s="139">
        <f>[1]Dry!S94</f>
        <v>40.85</v>
      </c>
      <c r="Y319" s="139">
        <f>[1]Dry!T94</f>
        <v>45.94</v>
      </c>
      <c r="Z319" s="139">
        <v>52.01</v>
      </c>
      <c r="AA319" s="139">
        <v>58.62</v>
      </c>
      <c r="AB319" s="139">
        <v>62.59</v>
      </c>
      <c r="AC319" s="139">
        <v>65.2</v>
      </c>
      <c r="AD319" s="139">
        <v>66.239999999999995</v>
      </c>
      <c r="AE319" s="139">
        <v>65.63</v>
      </c>
      <c r="AF319" s="139">
        <v>68.34</v>
      </c>
      <c r="AG319" s="147">
        <v>71.540000000000006</v>
      </c>
      <c r="AH319" s="149">
        <v>70.040000000000006</v>
      </c>
      <c r="AI319" s="70">
        <v>63.64</v>
      </c>
      <c r="AJ319" s="70">
        <v>61.67</v>
      </c>
      <c r="AK319" s="90">
        <f t="shared" si="49"/>
        <v>207</v>
      </c>
      <c r="AL319" s="90">
        <f t="shared" si="50"/>
        <v>224</v>
      </c>
      <c r="AM319" s="108">
        <f t="shared" si="51"/>
        <v>235</v>
      </c>
      <c r="AN319" s="91">
        <f t="shared" si="52"/>
        <v>252</v>
      </c>
      <c r="AO319" s="108">
        <f t="shared" si="53"/>
        <v>275</v>
      </c>
      <c r="AP319" s="109">
        <f t="shared" si="54"/>
        <v>278</v>
      </c>
      <c r="AQ319" s="110">
        <f t="shared" si="55"/>
        <v>276</v>
      </c>
      <c r="AR319" s="110">
        <f t="shared" si="55"/>
        <v>263</v>
      </c>
      <c r="AS319" s="110">
        <f t="shared" si="59"/>
        <v>269</v>
      </c>
      <c r="AT319" s="110">
        <f t="shared" si="60"/>
        <v>261</v>
      </c>
      <c r="AU319" s="110">
        <f t="shared" si="57"/>
        <v>247</v>
      </c>
      <c r="AV319" s="109">
        <f t="shared" si="56"/>
        <v>214</v>
      </c>
      <c r="AW319" s="109">
        <f>ROUND(W319/VLOOKUP($C319,CapRate,13),0)</f>
        <v>244</v>
      </c>
      <c r="AX319" s="72">
        <f>ROUND(X319/VLOOKUP($C319,CapRate,14),0)</f>
        <v>275</v>
      </c>
      <c r="AY319" s="72">
        <f>ROUND(Y319/VLOOKUP($C319,CapRate,15),0)</f>
        <v>306</v>
      </c>
      <c r="AZ319" s="72">
        <f>ROUND(Z319/VLOOKUP($C319,CapRate,16),0)</f>
        <v>346</v>
      </c>
      <c r="BA319" s="72">
        <f>ROUND(AA319/VLOOKUP($C319,CapRate,17),0)</f>
        <v>387</v>
      </c>
      <c r="BB319" s="72">
        <f>ROUND(AB319/VLOOKUP($C319,CapRate,18),0)</f>
        <v>411</v>
      </c>
      <c r="BC319" s="72">
        <f>ROUND(AC319/VLOOKUP($C319,CapRate,19),0)</f>
        <v>427</v>
      </c>
      <c r="BD319" s="225">
        <f>ROUND(AD319/VLOOKUP($C319,CapRate,20),0)</f>
        <v>433</v>
      </c>
      <c r="BE319" s="199">
        <f>ROUND(AE319/VLOOKUP($C319,CapRate,21),0)</f>
        <v>429</v>
      </c>
      <c r="BF319" s="199">
        <f>ROUND(AF319/VLOOKUP($C319,CapRate,22),0)</f>
        <v>446</v>
      </c>
      <c r="BG319" s="199">
        <f>ROUND(AG319/VLOOKUP($C319,CapRate,23),0)</f>
        <v>467</v>
      </c>
      <c r="BH319" s="153">
        <f>ROUND(AH319/VLOOKUP($C319,CapRate,24),0)</f>
        <v>458</v>
      </c>
      <c r="BI319" s="153">
        <f>ROUND(AI319/VLOOKUP($C319,CapRate,25),0)</f>
        <v>417</v>
      </c>
      <c r="BJ319" s="153">
        <f>ROUND(AJ319/VLOOKUP($C319,CapRate,26),0)</f>
        <v>405</v>
      </c>
      <c r="BK319" s="87">
        <f t="shared" si="58"/>
        <v>-2.877697841726623E-2</v>
      </c>
      <c r="BL319" s="200">
        <v>0</v>
      </c>
      <c r="BM319" s="226"/>
      <c r="BN319" s="227">
        <f>BK319</f>
        <v>-2.877697841726623E-2</v>
      </c>
      <c r="BO319" s="227"/>
      <c r="BP319" s="227"/>
      <c r="BQ319" s="228" t="s">
        <v>142</v>
      </c>
      <c r="BS319" s="2"/>
      <c r="BT319" s="2"/>
      <c r="BU319" s="2"/>
      <c r="BV319" s="2"/>
      <c r="BW319" s="2"/>
      <c r="BX319" s="2"/>
      <c r="BY319" s="10"/>
    </row>
    <row r="320" spans="1:77" s="9" customFormat="1" ht="15.9" customHeight="1" thickTop="1">
      <c r="A320" s="8" t="s">
        <v>155</v>
      </c>
      <c r="B320" s="22" t="s">
        <v>156</v>
      </c>
      <c r="C320" s="8" t="s">
        <v>157</v>
      </c>
      <c r="D320" s="23" t="s">
        <v>158</v>
      </c>
      <c r="E320" s="8" t="s">
        <v>39</v>
      </c>
      <c r="F320" s="188">
        <f>[1]AcreSummary!M95</f>
        <v>0.41041719980458075</v>
      </c>
      <c r="G320" s="25"/>
      <c r="H320" s="117"/>
      <c r="I320" s="57">
        <f>[1]Native!E93</f>
        <v>10.47</v>
      </c>
      <c r="J320" s="58">
        <f>[1]Native!F93</f>
        <v>10.14</v>
      </c>
      <c r="K320" s="59">
        <f>[1]Native!G93</f>
        <v>10.53</v>
      </c>
      <c r="L320" s="60">
        <f>[1]Native!H93</f>
        <v>10.74</v>
      </c>
      <c r="M320" s="61">
        <f>[1]Native!I93</f>
        <v>11.16</v>
      </c>
      <c r="N320" s="62">
        <f>[1]Native!J93</f>
        <v>11.58</v>
      </c>
      <c r="O320" s="62">
        <v>10.95</v>
      </c>
      <c r="P320" s="62">
        <f>[1]Native!K93</f>
        <v>12.06</v>
      </c>
      <c r="Q320" s="63">
        <f>[1]Native!L93</f>
        <v>11.58</v>
      </c>
      <c r="R320" s="64">
        <v>11.58</v>
      </c>
      <c r="S320" s="65">
        <f>[1]Native!M93</f>
        <v>11.15</v>
      </c>
      <c r="T320" s="66">
        <f>[1]Native!N93</f>
        <v>10.63</v>
      </c>
      <c r="U320" s="67">
        <f>[1]Native!O93</f>
        <v>9.74</v>
      </c>
      <c r="V320" s="68">
        <f>[1]Native!P93</f>
        <v>6.93</v>
      </c>
      <c r="W320" s="68">
        <f>[1]Native!Q93</f>
        <v>6.99</v>
      </c>
      <c r="X320" s="68">
        <v>7.64</v>
      </c>
      <c r="Y320" s="68">
        <v>8.3800000000000008</v>
      </c>
      <c r="Z320" s="68">
        <v>8.35</v>
      </c>
      <c r="AA320" s="68">
        <v>9.44</v>
      </c>
      <c r="AB320" s="68">
        <v>10.7</v>
      </c>
      <c r="AC320" s="68">
        <v>12.06</v>
      </c>
      <c r="AD320" s="68">
        <v>13.51</v>
      </c>
      <c r="AE320" s="68">
        <v>14.66</v>
      </c>
      <c r="AF320" s="68">
        <v>15.13</v>
      </c>
      <c r="AG320" s="69">
        <v>15.71</v>
      </c>
      <c r="AH320" s="70">
        <v>16.350000000000001</v>
      </c>
      <c r="AI320" s="70">
        <v>16.36</v>
      </c>
      <c r="AJ320" s="70">
        <v>16.649999999999999</v>
      </c>
      <c r="AK320" s="8">
        <f t="shared" si="49"/>
        <v>67</v>
      </c>
      <c r="AL320" s="8">
        <f t="shared" si="50"/>
        <v>69</v>
      </c>
      <c r="AM320" s="71">
        <f t="shared" si="51"/>
        <v>70</v>
      </c>
      <c r="AN320" s="72">
        <f t="shared" si="52"/>
        <v>74</v>
      </c>
      <c r="AO320" s="71">
        <f t="shared" si="53"/>
        <v>76</v>
      </c>
      <c r="AP320" s="72">
        <f t="shared" si="54"/>
        <v>85</v>
      </c>
      <c r="AQ320" s="71">
        <f t="shared" si="55"/>
        <v>81</v>
      </c>
      <c r="AR320" s="71">
        <f t="shared" si="55"/>
        <v>81</v>
      </c>
      <c r="AS320" s="71">
        <f t="shared" si="59"/>
        <v>78</v>
      </c>
      <c r="AT320" s="71">
        <f t="shared" si="60"/>
        <v>74</v>
      </c>
      <c r="AU320" s="71">
        <f t="shared" si="57"/>
        <v>68</v>
      </c>
      <c r="AV320" s="72">
        <f t="shared" si="56"/>
        <v>47</v>
      </c>
      <c r="AW320" s="72">
        <f>ROUND(W320/VLOOKUP($C320,CapRate,13),0)</f>
        <v>47</v>
      </c>
      <c r="AX320" s="122">
        <f>IF(ROUND(X320/VLOOKUP($C320,CapRate,14),0)&gt;10,X320/VLOOKUP($C320,CapRate,14),10)</f>
        <v>51.378614660390042</v>
      </c>
      <c r="AY320" s="122">
        <f>IF(ROUND(Y320/VLOOKUP($C320,CapRate,15),0)&gt;10,Y320/VLOOKUP($C320,CapRate,15),10)</f>
        <v>55.792276964047943</v>
      </c>
      <c r="AZ320" s="122">
        <f>IF(ROUND(Z320/VLOOKUP($C320,CapRate,16),0)&gt;10,Z320/VLOOKUP($C320,CapRate,16),10)</f>
        <v>55.334658714380382</v>
      </c>
      <c r="BA320" s="122">
        <f>IF(ROUND(AA320/VLOOKUP($C320,CapRate,17),0)&gt;10,AA320/VLOOKUP($C320,CapRate,17),10)</f>
        <v>61.780104712041883</v>
      </c>
      <c r="BB320" s="122">
        <f>IF(ROUND(AB320/VLOOKUP($C320,CapRate,18),0)&gt;10,AB320/VLOOKUP($C320,CapRate,18),10)</f>
        <v>69.797782126549251</v>
      </c>
      <c r="BC320" s="122">
        <f>IF(ROUND(AC320/VLOOKUP($C320,CapRate,19),0)&gt;10,AC320/VLOOKUP($C320,CapRate,19),10)</f>
        <v>78.362573099415201</v>
      </c>
      <c r="BD320" s="72">
        <f>IF(ROUND(AD320/VLOOKUP($C320,CapRate,20),0)&gt;10,AD320/VLOOKUP($C320,CapRate,20),10)</f>
        <v>87.670343932511358</v>
      </c>
      <c r="BE320" s="72">
        <f>IF(ROUND(AE320/VLOOKUP($C320,CapRate,21),0)&gt;10,AE320/VLOOKUP($C320,CapRate,21),10)</f>
        <v>95.133030499675542</v>
      </c>
      <c r="BF320" s="72">
        <f>IF(ROUND(AF320/VLOOKUP($C320,CapRate,22),0)&gt;10,AF320/VLOOKUP($C320,CapRate,22),10)</f>
        <v>98.246753246753258</v>
      </c>
      <c r="BG320" s="72">
        <f>IF(ROUND(AG320/VLOOKUP($C320,CapRate,23),0)&gt;10,AG320/VLOOKUP($C320,CapRate,23),10)</f>
        <v>102.07927225471084</v>
      </c>
      <c r="BH320" s="72">
        <f>IF(ROUND(AH320/VLOOKUP($C320,CapRate,24),0)&gt;10,AH320/VLOOKUP($C320,CapRate,24),10)</f>
        <v>106.58409387222947</v>
      </c>
      <c r="BI320" s="72">
        <f>IF(ROUND(AI320/VLOOKUP($C320,CapRate,25),0)&gt;10,AI320/VLOOKUP($C320,CapRate,25),10)</f>
        <v>106.78851174934725</v>
      </c>
      <c r="BJ320" s="72">
        <f>IF(ROUND(AJ320/VLOOKUP($C320,CapRate,26),0)&gt;10,AJ320/VLOOKUP($C320,CapRate,26),10)</f>
        <v>108.6105675146771</v>
      </c>
      <c r="BK320" s="75">
        <f t="shared" si="58"/>
        <v>1.7062282594653588E-2</v>
      </c>
      <c r="BL320" s="76"/>
      <c r="BM320" s="219">
        <f>BK320</f>
        <v>1.7062282594653588E-2</v>
      </c>
      <c r="BN320" s="220"/>
      <c r="BO320" s="220"/>
      <c r="BP320" s="220"/>
      <c r="BQ320" s="77">
        <f>AVERAGE(BL322:BL363)</f>
        <v>-7.8301882732215392E-3</v>
      </c>
      <c r="BS320" s="2"/>
      <c r="BT320" s="2"/>
      <c r="BU320" s="2"/>
      <c r="BV320" s="2"/>
      <c r="BW320" s="2"/>
      <c r="BX320" s="2"/>
      <c r="BY320" s="10"/>
    </row>
    <row r="321" spans="1:77" s="9" customFormat="1" ht="15.9" customHeight="1">
      <c r="A321" s="8"/>
      <c r="B321" s="22"/>
      <c r="C321" s="8" t="s">
        <v>157</v>
      </c>
      <c r="D321" s="23"/>
      <c r="E321" s="8" t="s">
        <v>85</v>
      </c>
      <c r="F321" s="188">
        <f>[1]AcreSummary!L95</f>
        <v>0.18199775236105192</v>
      </c>
      <c r="G321" s="25"/>
      <c r="H321" s="117"/>
      <c r="I321" s="57"/>
      <c r="J321" s="58">
        <f>[1]Tame!D62</f>
        <v>13.29</v>
      </c>
      <c r="K321" s="80">
        <f>[1]Tame!E62</f>
        <v>13.37</v>
      </c>
      <c r="L321" s="68">
        <f>[1]Tame!F62</f>
        <v>13.18</v>
      </c>
      <c r="M321" s="58">
        <f>[1]Tame!G62</f>
        <v>13.19</v>
      </c>
      <c r="N321" s="81">
        <f>[1]Tame!H62</f>
        <v>13.27</v>
      </c>
      <c r="O321" s="62">
        <v>12.81</v>
      </c>
      <c r="P321" s="81">
        <f>[1]Tame!I62</f>
        <v>13.37</v>
      </c>
      <c r="Q321" s="82">
        <f>[1]Tame!J62</f>
        <v>12.78</v>
      </c>
      <c r="R321" s="83">
        <v>12.78</v>
      </c>
      <c r="S321" s="84">
        <f>[1]Tame!K62</f>
        <v>12.08</v>
      </c>
      <c r="T321" s="66">
        <f>[1]Tame!L62</f>
        <v>11.2</v>
      </c>
      <c r="U321" s="67">
        <f>[1]Tame!M62</f>
        <v>10.4</v>
      </c>
      <c r="V321" s="68">
        <f>[1]Tame!N62</f>
        <v>2.36</v>
      </c>
      <c r="W321" s="68">
        <f>[1]Tame!O62</f>
        <v>2.04</v>
      </c>
      <c r="X321" s="68">
        <v>2.4300000000000002</v>
      </c>
      <c r="Y321" s="68">
        <v>2.9</v>
      </c>
      <c r="Z321" s="68">
        <v>4.83</v>
      </c>
      <c r="AA321" s="68">
        <v>6.61</v>
      </c>
      <c r="AB321" s="68">
        <v>8.42</v>
      </c>
      <c r="AC321" s="68">
        <v>0</v>
      </c>
      <c r="AD321" s="68">
        <v>10.9</v>
      </c>
      <c r="AE321" s="68">
        <v>11.93</v>
      </c>
      <c r="AF321" s="68">
        <v>12.29</v>
      </c>
      <c r="AG321" s="69">
        <v>12.7</v>
      </c>
      <c r="AH321" s="70">
        <v>13.13</v>
      </c>
      <c r="AI321" s="70">
        <v>13.42</v>
      </c>
      <c r="AJ321" s="70">
        <v>14.15</v>
      </c>
      <c r="AK321" s="8">
        <f>ROUND(J321/VLOOKUP($C321,CapRate,2),0)</f>
        <v>88</v>
      </c>
      <c r="AL321" s="8">
        <f>ROUND(K321/VLOOKUP($C321,CapRate,3),0)</f>
        <v>88</v>
      </c>
      <c r="AM321" s="85">
        <f>ROUND(L321/VLOOKUP($C321,CapRate,4),0)</f>
        <v>86</v>
      </c>
      <c r="AN321" s="23">
        <f>ROUND(M321/VLOOKUP($C321,CapRate,5),0)</f>
        <v>88</v>
      </c>
      <c r="AO321" s="85">
        <f t="shared" si="53"/>
        <v>89</v>
      </c>
      <c r="AP321" s="72">
        <f t="shared" si="54"/>
        <v>94</v>
      </c>
      <c r="AQ321" s="71">
        <f t="shared" si="55"/>
        <v>90</v>
      </c>
      <c r="AR321" s="71">
        <f t="shared" si="55"/>
        <v>90</v>
      </c>
      <c r="AS321" s="71">
        <f t="shared" si="59"/>
        <v>85</v>
      </c>
      <c r="AT321" s="71">
        <f t="shared" si="60"/>
        <v>78</v>
      </c>
      <c r="AU321" s="71">
        <f t="shared" si="57"/>
        <v>73</v>
      </c>
      <c r="AV321" s="72">
        <f>IF(ROUND(V321/VLOOKUP($C321,CapRate,12),0)&gt;AV320,V321/VLOOKUP($C321,CapRate,12),AV320)</f>
        <v>47</v>
      </c>
      <c r="AW321" s="72">
        <f>IF(ROUND(W321/VLOOKUP($C321,CapRate,13),0)&gt;AW320,W321/VLOOKUP($C321,CapRate,13),AW320)</f>
        <v>47</v>
      </c>
      <c r="AX321" s="72">
        <f>IF(ROUND(X321/VLOOKUP($C321,CapRate,14),0)&gt;AX320,X321/VLOOKUP($C321,CapRate,14),AX320)</f>
        <v>51.378614660390042</v>
      </c>
      <c r="AY321" s="72">
        <f>IF(ROUND(Y321/VLOOKUP($C321,CapRate,15),0)&gt;AY320,Y321/VLOOKUP($C321,CapRate,15),AY320)</f>
        <v>55.792276964047943</v>
      </c>
      <c r="AZ321" s="72">
        <f>IF(ROUND(Z321/VLOOKUP($C321,CapRate,16),0)&gt;AZ320,Z321/VLOOKUP($C321,CapRate,16),AZ320)</f>
        <v>55.334658714380382</v>
      </c>
      <c r="BA321" s="72">
        <f>IF(ROUND(AA321/VLOOKUP($C321,CapRate,17),0)&gt;BA320,AA321/VLOOKUP($C321,CapRate,17),BA320)</f>
        <v>61.780104712041883</v>
      </c>
      <c r="BB321" s="72">
        <f>IF(ROUND(AB321/VLOOKUP($C321,CapRate,18),0)&gt;BB320,AB321/VLOOKUP($C321,CapRate,18),BB320)</f>
        <v>69.797782126549251</v>
      </c>
      <c r="BC321" s="72">
        <f>IF(ROUND(AC321/VLOOKUP($C321,CapRate,19),0)&gt;BC320,AC321/VLOOKUP($C321,CapRate,19),BC320)</f>
        <v>78.362573099415201</v>
      </c>
      <c r="BD321" s="72">
        <f>IF(ROUND(AD321/VLOOKUP($C321,CapRate,20),0)&gt;BD320,AD321/VLOOKUP($C321,CapRate,20),BD320)</f>
        <v>87.670343932511358</v>
      </c>
      <c r="BE321" s="72">
        <f>IF(ROUND(AE321/VLOOKUP($C321,CapRate,21),0)&gt;BE320,AE321/VLOOKUP($C321,CapRate,21),BE320)</f>
        <v>95.133030499675542</v>
      </c>
      <c r="BF321" s="72">
        <f>IF(ROUND(AF321/VLOOKUP($C321,CapRate,22),0)&gt;BF320,AF321/VLOOKUP($C321,CapRate,22),BF320)</f>
        <v>98.246753246753258</v>
      </c>
      <c r="BG321" s="72">
        <f>IF(ROUND(AG321/VLOOKUP($C321,CapRate,23),0)&gt;BG320,AG321/VLOOKUP($C321,CapRate,23),BG320)</f>
        <v>102.07927225471084</v>
      </c>
      <c r="BH321" s="72">
        <f>IF(ROUND(AH321/VLOOKUP($C321,CapRate,24),0)&gt;BH320,AH321/VLOOKUP($C321,CapRate,24),BH320)</f>
        <v>106.58409387222947</v>
      </c>
      <c r="BI321" s="72">
        <f>IF(ROUND(AI321/VLOOKUP($C321,CapRate,25),0)&gt;BI320,AI321/VLOOKUP($C321,CapRate,25),BI320)</f>
        <v>106.78851174934725</v>
      </c>
      <c r="BJ321" s="72">
        <f>IF(ROUND(AJ321/VLOOKUP($C321,CapRate,26),0)&gt;BJ320,AJ321/VLOOKUP($C321,CapRate,26),BJ320)</f>
        <v>108.6105675146771</v>
      </c>
      <c r="BK321" s="87">
        <f t="shared" si="58"/>
        <v>1.7062282594653588E-2</v>
      </c>
      <c r="BL321" s="76"/>
      <c r="BM321" s="77"/>
      <c r="BN321" s="77"/>
      <c r="BO321" s="77"/>
      <c r="BP321" s="77">
        <f>BK321</f>
        <v>1.7062282594653588E-2</v>
      </c>
      <c r="BQ321" s="8"/>
      <c r="BS321" s="2"/>
      <c r="BT321" s="2"/>
      <c r="BU321" s="2"/>
      <c r="BV321" s="2"/>
      <c r="BW321" s="2"/>
      <c r="BX321" s="2"/>
      <c r="BY321" s="10"/>
    </row>
    <row r="322" spans="1:77" s="9" customFormat="1" ht="15.9" customHeight="1" thickBot="1">
      <c r="A322" s="8" t="s">
        <v>155</v>
      </c>
      <c r="B322" s="22"/>
      <c r="C322" s="90" t="s">
        <v>157</v>
      </c>
      <c r="D322" s="91"/>
      <c r="E322" s="90" t="s">
        <v>40</v>
      </c>
      <c r="F322" s="190">
        <f>[1]AcreSummary!J95</f>
        <v>0.40758504783436733</v>
      </c>
      <c r="G322" s="191"/>
      <c r="H322" s="94"/>
      <c r="I322" s="95">
        <f>[1]Dry!E95</f>
        <v>24.49</v>
      </c>
      <c r="J322" s="96">
        <f>[1]Dry!F95</f>
        <v>24.49</v>
      </c>
      <c r="K322" s="97">
        <f>[1]Dry!G95</f>
        <v>24.87</v>
      </c>
      <c r="L322" s="98">
        <f>[1]Dry!H95</f>
        <v>25.57</v>
      </c>
      <c r="M322" s="96">
        <f>[1]Dry!I95</f>
        <v>26.64</v>
      </c>
      <c r="N322" s="99">
        <f>[1]Dry!J95</f>
        <v>27.62</v>
      </c>
      <c r="O322" s="100">
        <v>26.84</v>
      </c>
      <c r="P322" s="99">
        <f>[1]Dry!K95</f>
        <v>27.7</v>
      </c>
      <c r="Q322" s="101">
        <f>[1]Dry!L95</f>
        <v>28.08</v>
      </c>
      <c r="R322" s="221">
        <f>Q322*0.95</f>
        <v>26.675999999999998</v>
      </c>
      <c r="S322" s="103">
        <f>[1]Dry!N95</f>
        <v>27.38</v>
      </c>
      <c r="T322" s="104">
        <f>[1]Dry!O95</f>
        <v>26.89</v>
      </c>
      <c r="U322" s="105">
        <f>[1]Dry!P95</f>
        <v>25.87</v>
      </c>
      <c r="V322" s="98">
        <f>[1]Dry!Q95</f>
        <v>21.13</v>
      </c>
      <c r="W322" s="98">
        <f>[1]Dry!R95</f>
        <v>24.71</v>
      </c>
      <c r="X322" s="98">
        <f>[1]Dry!S95</f>
        <v>27.5</v>
      </c>
      <c r="Y322" s="98">
        <f>[1]Dry!T95</f>
        <v>30.33</v>
      </c>
      <c r="Z322" s="98">
        <v>34.020000000000003</v>
      </c>
      <c r="AA322" s="98">
        <v>39.04</v>
      </c>
      <c r="AB322" s="98">
        <v>44.52</v>
      </c>
      <c r="AC322" s="98">
        <v>49.12</v>
      </c>
      <c r="AD322" s="98">
        <v>51.22</v>
      </c>
      <c r="AE322" s="98">
        <v>51.3</v>
      </c>
      <c r="AF322" s="98">
        <v>53.32</v>
      </c>
      <c r="AG322" s="106">
        <v>55.83</v>
      </c>
      <c r="AH322" s="107">
        <v>55.66</v>
      </c>
      <c r="AI322" s="107">
        <v>51.32</v>
      </c>
      <c r="AJ322" s="107">
        <v>47</v>
      </c>
      <c r="AK322" s="90">
        <f t="shared" si="49"/>
        <v>162</v>
      </c>
      <c r="AL322" s="90">
        <f t="shared" si="50"/>
        <v>164</v>
      </c>
      <c r="AM322" s="108">
        <f t="shared" si="51"/>
        <v>167</v>
      </c>
      <c r="AN322" s="91">
        <f t="shared" si="52"/>
        <v>178</v>
      </c>
      <c r="AO322" s="108">
        <f t="shared" si="53"/>
        <v>187</v>
      </c>
      <c r="AP322" s="109">
        <f t="shared" si="54"/>
        <v>195</v>
      </c>
      <c r="AQ322" s="110">
        <f t="shared" si="55"/>
        <v>197</v>
      </c>
      <c r="AR322" s="222">
        <f t="shared" si="55"/>
        <v>187</v>
      </c>
      <c r="AS322" s="110">
        <f t="shared" si="59"/>
        <v>192</v>
      </c>
      <c r="AT322" s="110">
        <f t="shared" si="60"/>
        <v>188</v>
      </c>
      <c r="AU322" s="110">
        <f t="shared" si="57"/>
        <v>181</v>
      </c>
      <c r="AV322" s="109">
        <f t="shared" si="56"/>
        <v>144</v>
      </c>
      <c r="AW322" s="109">
        <f>ROUND(W322/VLOOKUP($C322,CapRate,13),0)</f>
        <v>167</v>
      </c>
      <c r="AX322" s="72">
        <f>ROUND(X322/VLOOKUP($C322,CapRate,14),0)</f>
        <v>185</v>
      </c>
      <c r="AY322" s="72">
        <f>ROUND(Y322/VLOOKUP($C322,CapRate,15),0)</f>
        <v>202</v>
      </c>
      <c r="AZ322" s="72">
        <f>ROUND(Z322/VLOOKUP($C322,CapRate,16),0)</f>
        <v>225</v>
      </c>
      <c r="BA322" s="72">
        <f>ROUND(AA322/VLOOKUP($C322,CapRate,17),0)</f>
        <v>255</v>
      </c>
      <c r="BB322" s="72">
        <f>ROUND(AB322/VLOOKUP($C322,CapRate,18),0)</f>
        <v>290</v>
      </c>
      <c r="BC322" s="72">
        <f>ROUND(AC322/VLOOKUP($C322,CapRate,19),0)</f>
        <v>319</v>
      </c>
      <c r="BD322" s="72">
        <f>ROUND(AD322/VLOOKUP($C322,CapRate,20),0)</f>
        <v>332</v>
      </c>
      <c r="BE322" s="72">
        <f>ROUND(AE322/VLOOKUP($C322,CapRate,21),0)</f>
        <v>333</v>
      </c>
      <c r="BF322" s="72">
        <f>ROUND(AF322/VLOOKUP($C322,CapRate,22),0)</f>
        <v>346</v>
      </c>
      <c r="BG322" s="72">
        <f>ROUND(AG322/VLOOKUP($C322,CapRate,23),0)</f>
        <v>363</v>
      </c>
      <c r="BH322" s="72">
        <f>ROUND(AH322/VLOOKUP($C322,CapRate,24),0)</f>
        <v>363</v>
      </c>
      <c r="BI322" s="72">
        <f>ROUND(AI322/VLOOKUP($C322,CapRate,25),0)</f>
        <v>335</v>
      </c>
      <c r="BJ322" s="72">
        <f>ROUND(AJ322/VLOOKUP($C322,CapRate,26),0)</f>
        <v>307</v>
      </c>
      <c r="BK322" s="87">
        <f t="shared" si="58"/>
        <v>-8.3582089552238781E-2</v>
      </c>
      <c r="BL322" s="114">
        <f>((F320*BK320)+(F321*BK321)+(F322*BK322))</f>
        <v>-2.3958858641097407E-2</v>
      </c>
      <c r="BM322" s="226"/>
      <c r="BN322" s="227">
        <f>BK322</f>
        <v>-8.3582089552238781E-2</v>
      </c>
      <c r="BO322" s="227"/>
      <c r="BP322" s="227"/>
      <c r="BQ322" s="8"/>
      <c r="BS322" s="2"/>
      <c r="BT322" s="2"/>
      <c r="BU322" s="2"/>
      <c r="BV322" s="2"/>
      <c r="BW322" s="2"/>
      <c r="BX322" s="2"/>
      <c r="BY322" s="10"/>
    </row>
    <row r="323" spans="1:77" s="9" customFormat="1" ht="15.9" customHeight="1" thickTop="1">
      <c r="A323" s="8" t="s">
        <v>155</v>
      </c>
      <c r="B323" s="22"/>
      <c r="C323" s="8" t="s">
        <v>159</v>
      </c>
      <c r="D323" s="23" t="s">
        <v>159</v>
      </c>
      <c r="E323" s="8" t="s">
        <v>39</v>
      </c>
      <c r="F323" s="188">
        <f>[1]AcreSummary!M96</f>
        <v>0.66805351726092921</v>
      </c>
      <c r="G323" s="25"/>
      <c r="H323" s="117"/>
      <c r="I323" s="57">
        <f>[1]Native!E94</f>
        <v>8.9</v>
      </c>
      <c r="J323" s="58">
        <f>[1]Native!F94</f>
        <v>8.82</v>
      </c>
      <c r="K323" s="80">
        <f>[1]Native!G94</f>
        <v>9.09</v>
      </c>
      <c r="L323" s="68">
        <f>[1]Native!H94</f>
        <v>9.2899999999999991</v>
      </c>
      <c r="M323" s="58">
        <f>[1]Native!I94</f>
        <v>9.68</v>
      </c>
      <c r="N323" s="81">
        <f>[1]Native!J94</f>
        <v>10.07</v>
      </c>
      <c r="O323" s="62">
        <v>8.27</v>
      </c>
      <c r="P323" s="81">
        <f>[1]Native!K94</f>
        <v>10.52</v>
      </c>
      <c r="Q323" s="82">
        <f>[1]Native!L94</f>
        <v>10.07</v>
      </c>
      <c r="R323" s="83">
        <v>10.07</v>
      </c>
      <c r="S323" s="84">
        <f>[1]Native!M94</f>
        <v>9.66</v>
      </c>
      <c r="T323" s="66">
        <f>[1]Native!N94</f>
        <v>9.16</v>
      </c>
      <c r="U323" s="67">
        <f>[1]Native!O94</f>
        <v>8.3800000000000008</v>
      </c>
      <c r="V323" s="68">
        <f>[1]Native!P94</f>
        <v>5.59</v>
      </c>
      <c r="W323" s="68">
        <f>[1]Native!Q94</f>
        <v>5.54</v>
      </c>
      <c r="X323" s="68">
        <v>6.09</v>
      </c>
      <c r="Y323" s="68">
        <v>6.72</v>
      </c>
      <c r="Z323" s="68">
        <v>7.75</v>
      </c>
      <c r="AA323" s="68">
        <v>9.0299999999999994</v>
      </c>
      <c r="AB323" s="68">
        <v>10.24</v>
      </c>
      <c r="AC323" s="68">
        <v>11.6</v>
      </c>
      <c r="AD323" s="68">
        <v>13.12</v>
      </c>
      <c r="AE323" s="68">
        <v>14.22</v>
      </c>
      <c r="AF323" s="68">
        <v>14.79</v>
      </c>
      <c r="AG323" s="69">
        <v>15.28</v>
      </c>
      <c r="AH323" s="70">
        <v>15.88</v>
      </c>
      <c r="AI323" s="70">
        <v>15.87</v>
      </c>
      <c r="AJ323" s="70">
        <v>16.155000000000001</v>
      </c>
      <c r="AK323" s="8">
        <f t="shared" si="49"/>
        <v>57</v>
      </c>
      <c r="AL323" s="8">
        <f t="shared" si="50"/>
        <v>59</v>
      </c>
      <c r="AM323" s="85">
        <f t="shared" si="51"/>
        <v>60</v>
      </c>
      <c r="AN323" s="23">
        <f t="shared" si="52"/>
        <v>64</v>
      </c>
      <c r="AO323" s="85">
        <f t="shared" si="53"/>
        <v>57</v>
      </c>
      <c r="AP323" s="72">
        <f t="shared" si="54"/>
        <v>73</v>
      </c>
      <c r="AQ323" s="71">
        <f t="shared" si="55"/>
        <v>70</v>
      </c>
      <c r="AR323" s="71">
        <f t="shared" si="55"/>
        <v>70</v>
      </c>
      <c r="AS323" s="71">
        <f t="shared" si="59"/>
        <v>67</v>
      </c>
      <c r="AT323" s="71">
        <f t="shared" si="60"/>
        <v>63</v>
      </c>
      <c r="AU323" s="71">
        <f t="shared" si="57"/>
        <v>58</v>
      </c>
      <c r="AV323" s="72">
        <f t="shared" si="56"/>
        <v>38</v>
      </c>
      <c r="AW323" s="72">
        <f>ROUND(W323/VLOOKUP($C323,CapRate,13),0)</f>
        <v>37</v>
      </c>
      <c r="AX323" s="122">
        <f>IF(ROUND(X323/VLOOKUP($C323,CapRate,14),0)&gt;10,X323/VLOOKUP($C323,CapRate,14),10)</f>
        <v>40.899932840832768</v>
      </c>
      <c r="AY323" s="122">
        <f>IF(ROUND(Y323/VLOOKUP($C323,CapRate,15),0)&gt;10,Y323/VLOOKUP($C323,CapRate,15),10)</f>
        <v>44.829886591060706</v>
      </c>
      <c r="AZ323" s="122">
        <f>IF(ROUND(Z323/VLOOKUP($C323,CapRate,16),0)&gt;10,Z323/VLOOKUP($C323,CapRate,16),10)</f>
        <v>51.460823373173966</v>
      </c>
      <c r="BA323" s="122">
        <f>IF(ROUND(AA323/VLOOKUP($C323,CapRate,17),0)&gt;10,AA323/VLOOKUP($C323,CapRate,17),10)</f>
        <v>59.368836291913205</v>
      </c>
      <c r="BB323" s="122">
        <f>IF(ROUND(AB323/VLOOKUP($C323,CapRate,18),0)&gt;10,AB323/VLOOKUP($C323,CapRate,18),10)</f>
        <v>66.797129810828451</v>
      </c>
      <c r="BC323" s="122">
        <f>IF(ROUND(AC323/VLOOKUP($C323,CapRate,19),0)&gt;10,AC323/VLOOKUP($C323,CapRate,19),10)</f>
        <v>75.080906148867314</v>
      </c>
      <c r="BD323" s="122">
        <f>IF(ROUND(AD323/VLOOKUP($C323,CapRate,20),0)&gt;10,AD323/VLOOKUP($C323,CapRate,20),10)</f>
        <v>84.26461143224148</v>
      </c>
      <c r="BE323" s="122">
        <f>IF(ROUND(AE323/VLOOKUP($C323,CapRate,21),0)&gt;10,AE323/VLOOKUP($C323,CapRate,21),10)</f>
        <v>90.746649649010848</v>
      </c>
      <c r="BF323" s="122">
        <f>IF(ROUND(AF323/VLOOKUP($C323,CapRate,22),0)&gt;10,AF323/VLOOKUP($C323,CapRate,22),10)</f>
        <v>94.024157660521297</v>
      </c>
      <c r="BG323" s="122">
        <f>IF(ROUND(AG323/VLOOKUP($C323,CapRate,23),0)&gt;10,AG323/VLOOKUP($C323,CapRate,23),10)</f>
        <v>96.77010766307788</v>
      </c>
      <c r="BH323" s="122">
        <f>IF(ROUND(AH323/VLOOKUP($C323,CapRate,24),0)&gt;10,AH323/VLOOKUP($C323,CapRate,24),10)</f>
        <v>100.4427577482606</v>
      </c>
      <c r="BI323" s="122">
        <f>IF(ROUND(AI323/VLOOKUP($C323,CapRate,25),0)&gt;10,AI323/VLOOKUP($C323,CapRate,25),10)</f>
        <v>100.31605562579013</v>
      </c>
      <c r="BJ323" s="122">
        <f>IF(ROUND(AJ323/VLOOKUP($C323,CapRate,26),0)&gt;10,AJ323/VLOOKUP($C323,CapRate,26),10)</f>
        <v>102.31158961367954</v>
      </c>
      <c r="BK323" s="75">
        <f t="shared" si="58"/>
        <v>1.9892468612735081E-2</v>
      </c>
      <c r="BL323" s="76"/>
      <c r="BM323" s="219">
        <f>BK323</f>
        <v>1.9892468612735081E-2</v>
      </c>
      <c r="BN323" s="220"/>
      <c r="BO323" s="220"/>
      <c r="BP323" s="220"/>
      <c r="BQ323" s="8"/>
      <c r="BS323" s="2"/>
      <c r="BT323" s="2"/>
      <c r="BU323" s="2"/>
      <c r="BV323" s="2"/>
      <c r="BW323" s="2"/>
      <c r="BX323" s="2"/>
      <c r="BY323" s="10"/>
    </row>
    <row r="324" spans="1:77" s="9" customFormat="1" ht="15.9" customHeight="1">
      <c r="A324" s="8"/>
      <c r="B324" s="22"/>
      <c r="C324" s="8" t="s">
        <v>159</v>
      </c>
      <c r="D324" s="23"/>
      <c r="E324" s="8" t="s">
        <v>85</v>
      </c>
      <c r="F324" s="188">
        <f>[1]AcreSummary!L96</f>
        <v>0.14670542652285079</v>
      </c>
      <c r="G324" s="25"/>
      <c r="H324" s="117"/>
      <c r="I324" s="57"/>
      <c r="J324" s="58">
        <f>[1]Tame!D63</f>
        <v>13.29</v>
      </c>
      <c r="K324" s="80">
        <f>[1]Tame!E63</f>
        <v>13.33</v>
      </c>
      <c r="L324" s="68">
        <f>[1]Tame!F63</f>
        <v>13.1</v>
      </c>
      <c r="M324" s="58">
        <f>[1]Tame!G63</f>
        <v>13.06</v>
      </c>
      <c r="N324" s="81">
        <f>[1]Tame!H63</f>
        <v>13.12</v>
      </c>
      <c r="O324" s="62">
        <v>13.11</v>
      </c>
      <c r="P324" s="81">
        <f>[1]Tame!I63</f>
        <v>13.21</v>
      </c>
      <c r="Q324" s="82">
        <f>[1]Tame!J63</f>
        <v>12.62</v>
      </c>
      <c r="R324" s="83">
        <v>12.62</v>
      </c>
      <c r="S324" s="84">
        <f>[1]Tame!K63</f>
        <v>11.92</v>
      </c>
      <c r="T324" s="66">
        <f>[1]Tame!L63</f>
        <v>11</v>
      </c>
      <c r="U324" s="67">
        <f>[1]Tame!M63</f>
        <v>10.24</v>
      </c>
      <c r="V324" s="68">
        <f>[1]Tame!N63</f>
        <v>2.2200000000000002</v>
      </c>
      <c r="W324" s="68">
        <f>[1]Tame!O63</f>
        <v>1.88</v>
      </c>
      <c r="X324" s="68">
        <v>2.2400000000000002</v>
      </c>
      <c r="Y324" s="68">
        <v>2.68</v>
      </c>
      <c r="Z324" s="68">
        <v>4.57</v>
      </c>
      <c r="AA324" s="68">
        <v>6.63</v>
      </c>
      <c r="AB324" s="68">
        <v>8.08</v>
      </c>
      <c r="AC324" s="68">
        <v>0</v>
      </c>
      <c r="AD324" s="68">
        <v>11.2</v>
      </c>
      <c r="AE324" s="68">
        <v>12.25</v>
      </c>
      <c r="AF324" s="68">
        <v>12.56</v>
      </c>
      <c r="AG324" s="69">
        <v>12.78</v>
      </c>
      <c r="AH324" s="70">
        <v>13.21</v>
      </c>
      <c r="AI324" s="70">
        <v>13.51</v>
      </c>
      <c r="AJ324" s="70">
        <v>14.15</v>
      </c>
      <c r="AK324" s="8">
        <f>ROUND(J324/VLOOKUP($C324,CapRate,2),0)</f>
        <v>86</v>
      </c>
      <c r="AL324" s="8">
        <f>ROUND(K324/VLOOKUP($C324,CapRate,3),0)</f>
        <v>87</v>
      </c>
      <c r="AM324" s="85">
        <f>ROUND(L324/VLOOKUP($C324,CapRate,4),0)</f>
        <v>85</v>
      </c>
      <c r="AN324" s="23">
        <f>ROUND(M324/VLOOKUP($C324,CapRate,5),0)</f>
        <v>86</v>
      </c>
      <c r="AO324" s="85">
        <f t="shared" si="53"/>
        <v>90</v>
      </c>
      <c r="AP324" s="72">
        <f t="shared" si="54"/>
        <v>92</v>
      </c>
      <c r="AQ324" s="71">
        <f t="shared" si="55"/>
        <v>88</v>
      </c>
      <c r="AR324" s="71">
        <f t="shared" si="55"/>
        <v>88</v>
      </c>
      <c r="AS324" s="71">
        <f t="shared" si="59"/>
        <v>83</v>
      </c>
      <c r="AT324" s="71">
        <f t="shared" si="60"/>
        <v>76</v>
      </c>
      <c r="AU324" s="71">
        <f t="shared" si="57"/>
        <v>71</v>
      </c>
      <c r="AV324" s="72">
        <f>IF(ROUND(V324/VLOOKUP($C324,CapRate,12),0)&gt;AV323,V324/VLOOKUP($C324,CapRate,12),AV323)</f>
        <v>38</v>
      </c>
      <c r="AW324" s="72">
        <f>IF(ROUND(W324/VLOOKUP($C324,CapRate,13),0)&gt;AW323,W324/VLOOKUP($C324,CapRate,13),AW323)</f>
        <v>37</v>
      </c>
      <c r="AX324" s="72">
        <f>IF(ROUND(X324/VLOOKUP($C324,CapRate,14),0)&gt;AX323,X324/VLOOKUP($C324,CapRate,14),AX323)</f>
        <v>40.899932840832768</v>
      </c>
      <c r="AY324" s="72">
        <f>IF(ROUND(Y324/VLOOKUP($C324,CapRate,15),0)&gt;AY323,Y324/VLOOKUP($C324,CapRate,15),AY323)</f>
        <v>44.829886591060706</v>
      </c>
      <c r="AZ324" s="72">
        <f>IF(ROUND(Z324/VLOOKUP($C324,CapRate,16),0)&gt;AZ323,Z324/VLOOKUP($C324,CapRate,16),AZ323)</f>
        <v>51.460823373173966</v>
      </c>
      <c r="BA324" s="72">
        <f>IF(ROUND(AA324/VLOOKUP($C324,CapRate,17),0)&gt;BA323,AA324/VLOOKUP($C324,CapRate,17),BA323)</f>
        <v>59.368836291913205</v>
      </c>
      <c r="BB324" s="72">
        <f>IF(ROUND(AB324/VLOOKUP($C324,CapRate,18),0)&gt;BB323,AB324/VLOOKUP($C324,CapRate,18),BB323)</f>
        <v>66.797129810828451</v>
      </c>
      <c r="BC324" s="72">
        <f>IF(ROUND(AC324/VLOOKUP($C324,CapRate,19),0)&gt;BC323,AC324/VLOOKUP($C324,CapRate,19),BC323)</f>
        <v>75.080906148867314</v>
      </c>
      <c r="BD324" s="72">
        <f>IF(ROUND(AD324/VLOOKUP($C324,CapRate,20),0)&gt;BD323,AD324/VLOOKUP($C324,CapRate,20),BD323)</f>
        <v>84.26461143224148</v>
      </c>
      <c r="BE324" s="72">
        <f>IF(ROUND(AE324/VLOOKUP($C324,CapRate,21),0)&gt;BE323,AE324/VLOOKUP($C324,CapRate,21),BE323)</f>
        <v>90.746649649010848</v>
      </c>
      <c r="BF324" s="72">
        <f>IF(ROUND(AF324/VLOOKUP($C324,CapRate,22),0)&gt;BF323,AF324/VLOOKUP($C324,CapRate,22),BF323)</f>
        <v>94.024157660521297</v>
      </c>
      <c r="BG324" s="72">
        <f>IF(ROUND(AG324/VLOOKUP($C324,CapRate,23),0)&gt;BG323,AG324/VLOOKUP($C324,CapRate,23),BG323)</f>
        <v>96.77010766307788</v>
      </c>
      <c r="BH324" s="72">
        <f>IF(ROUND(AH324/VLOOKUP($C324,CapRate,24),0)&gt;BH323,AH324/VLOOKUP($C324,CapRate,24),BH323)</f>
        <v>100.4427577482606</v>
      </c>
      <c r="BI324" s="72">
        <f>IF(ROUND(AI324/VLOOKUP($C324,CapRate,25),0)&gt;BI323,AI324/VLOOKUP($C324,CapRate,25),BI323)</f>
        <v>100.31605562579013</v>
      </c>
      <c r="BJ324" s="72">
        <f>IF(ROUND(AJ324/VLOOKUP($C324,CapRate,26),0)&gt;BJ323,AJ324/VLOOKUP($C324,CapRate,26),BJ323)</f>
        <v>102.31158961367954</v>
      </c>
      <c r="BK324" s="87">
        <f t="shared" si="58"/>
        <v>1.9892468612735081E-2</v>
      </c>
      <c r="BL324" s="76"/>
      <c r="BM324" s="77"/>
      <c r="BN324" s="77"/>
      <c r="BO324" s="77"/>
      <c r="BP324" s="77">
        <f>BK324</f>
        <v>1.9892468612735081E-2</v>
      </c>
      <c r="BQ324" s="8"/>
      <c r="BS324" s="2"/>
      <c r="BT324" s="2"/>
      <c r="BU324" s="2"/>
      <c r="BV324" s="2"/>
      <c r="BW324" s="2"/>
      <c r="BX324" s="2"/>
      <c r="BY324" s="10"/>
    </row>
    <row r="325" spans="1:77" s="9" customFormat="1" ht="15.9" customHeight="1" thickBot="1">
      <c r="A325" s="8" t="s">
        <v>155</v>
      </c>
      <c r="B325" s="22"/>
      <c r="C325" s="90" t="s">
        <v>159</v>
      </c>
      <c r="D325" s="91"/>
      <c r="E325" s="90" t="s">
        <v>40</v>
      </c>
      <c r="F325" s="190">
        <f>[1]AcreSummary!J96</f>
        <v>0.18497952363686473</v>
      </c>
      <c r="G325" s="191"/>
      <c r="H325" s="94"/>
      <c r="I325" s="95">
        <f>[1]Dry!E96</f>
        <v>21.26</v>
      </c>
      <c r="J325" s="96">
        <f>[1]Dry!F96</f>
        <v>21.55</v>
      </c>
      <c r="K325" s="97">
        <f>[1]Dry!G96</f>
        <v>22.07</v>
      </c>
      <c r="L325" s="98">
        <f>[1]Dry!H96</f>
        <v>23.04</v>
      </c>
      <c r="M325" s="96">
        <f>[1]Dry!I96</f>
        <v>24.48</v>
      </c>
      <c r="N325" s="99">
        <f>[1]Dry!J96</f>
        <v>26</v>
      </c>
      <c r="O325" s="100">
        <v>25.52</v>
      </c>
      <c r="P325" s="99">
        <f>[1]Dry!K96</f>
        <v>26.78</v>
      </c>
      <c r="Q325" s="101">
        <f>[1]Dry!L96</f>
        <v>27.74</v>
      </c>
      <c r="R325" s="221">
        <f>Q325*0.95</f>
        <v>26.352999999999998</v>
      </c>
      <c r="S325" s="103">
        <f>[1]Dry!N96</f>
        <v>27.91</v>
      </c>
      <c r="T325" s="104">
        <f>[1]Dry!O96</f>
        <v>28.17</v>
      </c>
      <c r="U325" s="105">
        <f>[1]Dry!P96</f>
        <v>27.61</v>
      </c>
      <c r="V325" s="98">
        <f>[1]Dry!Q96</f>
        <v>23.85</v>
      </c>
      <c r="W325" s="98">
        <f>[1]Dry!R96</f>
        <v>26.69</v>
      </c>
      <c r="X325" s="98">
        <f>[1]Dry!S96</f>
        <v>29.04</v>
      </c>
      <c r="Y325" s="98">
        <f>[1]Dry!T96</f>
        <v>31.81</v>
      </c>
      <c r="Z325" s="98">
        <v>34.840000000000003</v>
      </c>
      <c r="AA325" s="98">
        <v>39.380000000000003</v>
      </c>
      <c r="AB325" s="98">
        <v>43.81</v>
      </c>
      <c r="AC325" s="98">
        <v>47.83</v>
      </c>
      <c r="AD325" s="98">
        <v>49.5</v>
      </c>
      <c r="AE325" s="98">
        <v>50.24</v>
      </c>
      <c r="AF325" s="98">
        <v>52.16</v>
      </c>
      <c r="AG325" s="106">
        <v>54.16</v>
      </c>
      <c r="AH325" s="107">
        <v>53.9</v>
      </c>
      <c r="AI325" s="107">
        <v>49.34</v>
      </c>
      <c r="AJ325" s="107">
        <v>45.55</v>
      </c>
      <c r="AK325" s="90">
        <f t="shared" si="49"/>
        <v>140</v>
      </c>
      <c r="AL325" s="90">
        <f t="shared" si="50"/>
        <v>144</v>
      </c>
      <c r="AM325" s="108">
        <f t="shared" si="51"/>
        <v>149</v>
      </c>
      <c r="AN325" s="91">
        <f t="shared" si="52"/>
        <v>162</v>
      </c>
      <c r="AO325" s="108">
        <f t="shared" si="53"/>
        <v>176</v>
      </c>
      <c r="AP325" s="109">
        <f t="shared" si="54"/>
        <v>186</v>
      </c>
      <c r="AQ325" s="110">
        <f t="shared" si="55"/>
        <v>193</v>
      </c>
      <c r="AR325" s="222">
        <f t="shared" si="55"/>
        <v>183</v>
      </c>
      <c r="AS325" s="110">
        <f t="shared" si="59"/>
        <v>194</v>
      </c>
      <c r="AT325" s="110">
        <f t="shared" si="60"/>
        <v>195</v>
      </c>
      <c r="AU325" s="110">
        <f t="shared" si="57"/>
        <v>191</v>
      </c>
      <c r="AV325" s="109">
        <f t="shared" si="56"/>
        <v>162</v>
      </c>
      <c r="AW325" s="109">
        <f>ROUND(W325/VLOOKUP($C325,CapRate,13),0)</f>
        <v>180</v>
      </c>
      <c r="AX325" s="72">
        <f>ROUND(X325/VLOOKUP($C325,CapRate,14),0)</f>
        <v>195</v>
      </c>
      <c r="AY325" s="72">
        <f>ROUND(Y325/VLOOKUP($C325,CapRate,15),0)</f>
        <v>212</v>
      </c>
      <c r="AZ325" s="72">
        <f>ROUND(Z325/VLOOKUP($C325,CapRate,16),0)</f>
        <v>231</v>
      </c>
      <c r="BA325" s="72">
        <f>ROUND(AA325/VLOOKUP($C325,CapRate,17),0)</f>
        <v>259</v>
      </c>
      <c r="BB325" s="72">
        <f>ROUND(AB325/VLOOKUP($C325,CapRate,18),0)</f>
        <v>286</v>
      </c>
      <c r="BC325" s="72">
        <f>ROUND(AC325/VLOOKUP($C325,CapRate,19),0)</f>
        <v>310</v>
      </c>
      <c r="BD325" s="72">
        <f>ROUND(AD325/VLOOKUP($C325,CapRate,20),0)</f>
        <v>318</v>
      </c>
      <c r="BE325" s="72">
        <f>ROUND(AE325/VLOOKUP($C325,CapRate,21),0)</f>
        <v>321</v>
      </c>
      <c r="BF325" s="72">
        <f>ROUND(AF325/VLOOKUP($C325,CapRate,22),0)</f>
        <v>332</v>
      </c>
      <c r="BG325" s="72">
        <f>ROUND(AG325/VLOOKUP($C325,CapRate,23),0)</f>
        <v>343</v>
      </c>
      <c r="BH325" s="72">
        <f>ROUND(AH325/VLOOKUP($C325,CapRate,24),0)</f>
        <v>341</v>
      </c>
      <c r="BI325" s="72">
        <f>ROUND(AI325/VLOOKUP($C325,CapRate,25),0)</f>
        <v>312</v>
      </c>
      <c r="BJ325" s="72">
        <f>ROUND(AJ325/VLOOKUP($C325,CapRate,26),0)</f>
        <v>288</v>
      </c>
      <c r="BK325" s="87">
        <f t="shared" si="58"/>
        <v>-7.6923076923076872E-2</v>
      </c>
      <c r="BL325" s="114">
        <f>((F323*BK323)+(F324*BK324)+(F325*BK325))</f>
        <v>1.9783725902513677E-3</v>
      </c>
      <c r="BM325" s="226"/>
      <c r="BN325" s="227">
        <f>BK325</f>
        <v>-7.6923076923076872E-2</v>
      </c>
      <c r="BO325" s="227"/>
      <c r="BP325" s="227"/>
      <c r="BQ325" s="8"/>
      <c r="BS325" s="2"/>
      <c r="BT325" s="2"/>
      <c r="BU325" s="2"/>
      <c r="BV325" s="2"/>
      <c r="BW325" s="2"/>
      <c r="BX325" s="2"/>
      <c r="BY325" s="10"/>
    </row>
    <row r="326" spans="1:77" s="9" customFormat="1" ht="15.9" customHeight="1" thickTop="1">
      <c r="A326" s="8" t="s">
        <v>155</v>
      </c>
      <c r="B326" s="22"/>
      <c r="C326" s="8" t="s">
        <v>160</v>
      </c>
      <c r="D326" s="23" t="s">
        <v>160</v>
      </c>
      <c r="E326" s="8" t="s">
        <v>39</v>
      </c>
      <c r="F326" s="188">
        <f>[1]AcreSummary!M97</f>
        <v>0.70915095136293127</v>
      </c>
      <c r="G326" s="25"/>
      <c r="H326" s="117"/>
      <c r="I326" s="57">
        <f>[1]Native!E95</f>
        <v>7.73</v>
      </c>
      <c r="J326" s="58">
        <f>[1]Native!F95</f>
        <v>7.61</v>
      </c>
      <c r="K326" s="80">
        <f>[1]Native!G95</f>
        <v>7.88</v>
      </c>
      <c r="L326" s="68">
        <f>[1]Native!H95</f>
        <v>8.01</v>
      </c>
      <c r="M326" s="58">
        <f>[1]Native!I95</f>
        <v>8.31</v>
      </c>
      <c r="N326" s="81">
        <f>[1]Native!J95</f>
        <v>8.59</v>
      </c>
      <c r="O326" s="62">
        <v>8.5</v>
      </c>
      <c r="P326" s="81">
        <f>[1]Native!K95</f>
        <v>8.98</v>
      </c>
      <c r="Q326" s="82">
        <f>[1]Native!L95</f>
        <v>8.43</v>
      </c>
      <c r="R326" s="83">
        <v>8.43</v>
      </c>
      <c r="S326" s="84">
        <f>[1]Native!M95</f>
        <v>7.9</v>
      </c>
      <c r="T326" s="66">
        <f>[1]Native!N95</f>
        <v>7.26</v>
      </c>
      <c r="U326" s="67">
        <f>[1]Native!O95</f>
        <v>6.32</v>
      </c>
      <c r="V326" s="68">
        <f>[1]Native!P95</f>
        <v>2.9</v>
      </c>
      <c r="W326" s="68">
        <f>[1]Native!Q95</f>
        <v>2.98</v>
      </c>
      <c r="X326" s="68">
        <v>3.65</v>
      </c>
      <c r="Y326" s="68">
        <v>4.41</v>
      </c>
      <c r="Z326" s="68">
        <v>5.56</v>
      </c>
      <c r="AA326" s="68">
        <v>6.82</v>
      </c>
      <c r="AB326" s="68">
        <v>8.0299999999999994</v>
      </c>
      <c r="AC326" s="68">
        <v>9.32</v>
      </c>
      <c r="AD326" s="68">
        <v>10.69</v>
      </c>
      <c r="AE326" s="68">
        <v>11.73</v>
      </c>
      <c r="AF326" s="68">
        <v>12.16</v>
      </c>
      <c r="AG326" s="69">
        <v>12.65</v>
      </c>
      <c r="AH326" s="70">
        <v>13.19</v>
      </c>
      <c r="AI326" s="70">
        <v>13.1</v>
      </c>
      <c r="AJ326" s="70">
        <v>13.3</v>
      </c>
      <c r="AK326" s="8">
        <f t="shared" si="49"/>
        <v>50</v>
      </c>
      <c r="AL326" s="8">
        <f t="shared" si="50"/>
        <v>52</v>
      </c>
      <c r="AM326" s="85">
        <f t="shared" si="51"/>
        <v>52</v>
      </c>
      <c r="AN326" s="23">
        <f t="shared" si="52"/>
        <v>55</v>
      </c>
      <c r="AO326" s="85">
        <f t="shared" si="53"/>
        <v>59</v>
      </c>
      <c r="AP326" s="72">
        <f t="shared" si="54"/>
        <v>63</v>
      </c>
      <c r="AQ326" s="71">
        <f t="shared" si="55"/>
        <v>59</v>
      </c>
      <c r="AR326" s="71">
        <f t="shared" si="55"/>
        <v>59</v>
      </c>
      <c r="AS326" s="71">
        <f t="shared" si="59"/>
        <v>55</v>
      </c>
      <c r="AT326" s="71">
        <f t="shared" si="60"/>
        <v>50</v>
      </c>
      <c r="AU326" s="71">
        <f t="shared" si="57"/>
        <v>44</v>
      </c>
      <c r="AV326" s="72">
        <f t="shared" si="56"/>
        <v>20</v>
      </c>
      <c r="AW326" s="72">
        <f>ROUND(W326/VLOOKUP($C326,CapRate,13),0)</f>
        <v>20</v>
      </c>
      <c r="AX326" s="122">
        <f>IF(ROUND(X326/VLOOKUP($C326,CapRate,14),0)&gt;10,X326/VLOOKUP($C326,CapRate,14),10)</f>
        <v>24.612272420768715</v>
      </c>
      <c r="AY326" s="122">
        <f>IF(ROUND(Y326/VLOOKUP($C326,CapRate,15),0)&gt;10,Y326/VLOOKUP($C326,CapRate,15),10)</f>
        <v>29.617192746809941</v>
      </c>
      <c r="AZ326" s="122">
        <f>IF(ROUND(Z326/VLOOKUP($C326,CapRate,16),0)&gt;10,Z326/VLOOKUP($C326,CapRate,16),10)</f>
        <v>37.265415549597854</v>
      </c>
      <c r="BA326" s="122">
        <f>IF(ROUND(AA326/VLOOKUP($C326,CapRate,17),0)&gt;10,AA326/VLOOKUP($C326,CapRate,17),10)</f>
        <v>45.557782231128925</v>
      </c>
      <c r="BB326" s="122">
        <f>IF(ROUND(AB326/VLOOKUP($C326,CapRate,18),0)&gt;10,AB326/VLOOKUP($C326,CapRate,18),10)</f>
        <v>53.426480372588159</v>
      </c>
      <c r="BC326" s="122">
        <f>IF(ROUND(AC326/VLOOKUP($C326,CapRate,19),0)&gt;10,AC326/VLOOKUP($C326,CapRate,19),10)</f>
        <v>61.885790172642757</v>
      </c>
      <c r="BD326" s="122">
        <f>IF(ROUND(AD326/VLOOKUP($C326,CapRate,20),0)&gt;10,AD326/VLOOKUP($C326,CapRate,20),10)</f>
        <v>70.794701986754973</v>
      </c>
      <c r="BE326" s="122">
        <f>IF(ROUND(AE326/VLOOKUP($C326,CapRate,21),0)&gt;10,AE326/VLOOKUP($C326,CapRate,21),10)</f>
        <v>77.579365079365076</v>
      </c>
      <c r="BF326" s="122">
        <f>IF(ROUND(AF326/VLOOKUP($C326,CapRate,22),0)&gt;10,AF326/VLOOKUP($C326,CapRate,22),10)</f>
        <v>80.423280423280417</v>
      </c>
      <c r="BG326" s="122">
        <f>IF(ROUND(AG326/VLOOKUP($C326,CapRate,23),0)&gt;10,AG326/VLOOKUP($C326,CapRate,23),10)</f>
        <v>83.664021164021165</v>
      </c>
      <c r="BH326" s="122">
        <f>IF(ROUND(AH326/VLOOKUP($C326,CapRate,24),0)&gt;10,AH326/VLOOKUP($C326,CapRate,24),10)</f>
        <v>87.350993377483448</v>
      </c>
      <c r="BI326" s="122">
        <f>IF(ROUND(AI326/VLOOKUP($C326,CapRate,25),0)&gt;10,AI326/VLOOKUP($C326,CapRate,25),10)</f>
        <v>86.92767086927671</v>
      </c>
      <c r="BJ326" s="122">
        <f>IF(ROUND(AJ326/VLOOKUP($C326,CapRate,26),0)&gt;10,AJ326/VLOOKUP($C326,CapRate,26),10)</f>
        <v>88.666666666666671</v>
      </c>
      <c r="BK326" s="75">
        <f t="shared" si="58"/>
        <v>2.0005089058524161E-2</v>
      </c>
      <c r="BL326" s="76"/>
      <c r="BM326" s="219">
        <f>BK326</f>
        <v>2.0005089058524161E-2</v>
      </c>
      <c r="BN326" s="220"/>
      <c r="BO326" s="220"/>
      <c r="BP326" s="220"/>
      <c r="BQ326" s="8"/>
      <c r="BS326" s="2"/>
      <c r="BT326" s="2"/>
      <c r="BU326" s="2"/>
      <c r="BV326" s="2"/>
      <c r="BW326" s="2"/>
      <c r="BX326" s="2"/>
      <c r="BY326" s="10"/>
    </row>
    <row r="327" spans="1:77" s="9" customFormat="1" ht="15.9" customHeight="1">
      <c r="A327" s="8"/>
      <c r="B327" s="22"/>
      <c r="C327" s="8" t="s">
        <v>160</v>
      </c>
      <c r="D327" s="23"/>
      <c r="E327" s="8" t="s">
        <v>85</v>
      </c>
      <c r="F327" s="188">
        <f>[1]AcreSummary!L97</f>
        <v>6.4867123193382226E-2</v>
      </c>
      <c r="G327" s="25"/>
      <c r="H327" s="117"/>
      <c r="I327" s="57"/>
      <c r="J327" s="58">
        <f>[1]Tame!D64</f>
        <v>11.07</v>
      </c>
      <c r="K327" s="80">
        <f>[1]Tame!E64</f>
        <v>10.84</v>
      </c>
      <c r="L327" s="68">
        <f>[1]Tame!F64</f>
        <v>10.39</v>
      </c>
      <c r="M327" s="58">
        <f>[1]Tame!G64</f>
        <v>10.09</v>
      </c>
      <c r="N327" s="81">
        <f>[1]Tame!H64</f>
        <v>9.69</v>
      </c>
      <c r="O327" s="62">
        <v>9.7200000000000006</v>
      </c>
      <c r="P327" s="81">
        <f>[1]Tame!I64</f>
        <v>9.3800000000000008</v>
      </c>
      <c r="Q327" s="82">
        <f>[1]Tame!J64</f>
        <v>8.65</v>
      </c>
      <c r="R327" s="83">
        <v>8.65</v>
      </c>
      <c r="S327" s="84">
        <f>[1]Tame!K64</f>
        <v>7.66</v>
      </c>
      <c r="T327" s="66">
        <f>[1]Tame!L64</f>
        <v>6.15</v>
      </c>
      <c r="U327" s="67">
        <f>[1]Tame!M64</f>
        <v>4.82</v>
      </c>
      <c r="V327" s="68">
        <f>[1]Tame!N64</f>
        <v>-2.76</v>
      </c>
      <c r="W327" s="68">
        <f>[1]Tame!O64</f>
        <v>-3.03</v>
      </c>
      <c r="X327" s="68">
        <v>-2.8</v>
      </c>
      <c r="Y327" s="68">
        <v>-2.31</v>
      </c>
      <c r="Z327" s="68">
        <v>-0.39</v>
      </c>
      <c r="AA327" s="68">
        <v>1.5</v>
      </c>
      <c r="AB327" s="68">
        <v>3.32</v>
      </c>
      <c r="AC327" s="68">
        <v>0</v>
      </c>
      <c r="AD327" s="68">
        <v>6.13</v>
      </c>
      <c r="AE327" s="68">
        <v>7.1</v>
      </c>
      <c r="AF327" s="68">
        <v>7.17</v>
      </c>
      <c r="AG327" s="69">
        <v>7.47</v>
      </c>
      <c r="AH327" s="70">
        <v>7.75</v>
      </c>
      <c r="AI327" s="70">
        <v>7.83</v>
      </c>
      <c r="AJ327" s="70">
        <v>8.23</v>
      </c>
      <c r="AK327" s="8">
        <f>ROUND(J327/VLOOKUP($C327,CapRate,2),0)</f>
        <v>73</v>
      </c>
      <c r="AL327" s="8">
        <f>ROUND(K327/VLOOKUP($C327,CapRate,3),0)</f>
        <v>71</v>
      </c>
      <c r="AM327" s="85">
        <f>ROUND(L327/VLOOKUP($C327,CapRate,4),0)</f>
        <v>68</v>
      </c>
      <c r="AN327" s="23">
        <f>ROUND(M327/VLOOKUP($C327,CapRate,5),0)</f>
        <v>67</v>
      </c>
      <c r="AO327" s="85">
        <f t="shared" si="53"/>
        <v>67</v>
      </c>
      <c r="AP327" s="72">
        <f t="shared" si="54"/>
        <v>66</v>
      </c>
      <c r="AQ327" s="71">
        <f t="shared" si="55"/>
        <v>60</v>
      </c>
      <c r="AR327" s="71">
        <f t="shared" si="55"/>
        <v>60</v>
      </c>
      <c r="AS327" s="71">
        <f t="shared" si="59"/>
        <v>53</v>
      </c>
      <c r="AT327" s="71">
        <f t="shared" si="60"/>
        <v>43</v>
      </c>
      <c r="AU327" s="71">
        <f t="shared" si="57"/>
        <v>33</v>
      </c>
      <c r="AV327" s="72">
        <f>IF(ROUND(V327/VLOOKUP($C327,CapRate,12),0)&gt;AV326,V327/VLOOKUP($C327,CapRate,12),AV326)</f>
        <v>20</v>
      </c>
      <c r="AW327" s="72">
        <f>IF(ROUND(W327/VLOOKUP($C327,CapRate,13),0)&gt;AW326,W327/VLOOKUP($C327,CapRate,13),AW326)</f>
        <v>20</v>
      </c>
      <c r="AX327" s="72">
        <f>IF(ROUND(X327/VLOOKUP($C327,CapRate,14),0)&gt;AX326,X327/VLOOKUP($C327,CapRate,14),AX326)</f>
        <v>24.612272420768715</v>
      </c>
      <c r="AY327" s="72">
        <f>IF(ROUND(Y327/VLOOKUP($C327,CapRate,15),0)&gt;AY326,Y327/VLOOKUP($C327,CapRate,15),AY326)</f>
        <v>29.617192746809941</v>
      </c>
      <c r="AZ327" s="72">
        <f>IF(ROUND(Z327/VLOOKUP($C327,CapRate,16),0)&gt;AZ326,Z327/VLOOKUP($C327,CapRate,16),AZ326)</f>
        <v>37.265415549597854</v>
      </c>
      <c r="BA327" s="72">
        <f>IF(ROUND(AA327/VLOOKUP($C327,CapRate,17),0)&gt;BA326,AA327/VLOOKUP($C327,CapRate,17),BA326)</f>
        <v>45.557782231128925</v>
      </c>
      <c r="BB327" s="72">
        <f>IF(ROUND(AB327/VLOOKUP($C327,CapRate,18),0)&gt;BB326,AB327/VLOOKUP($C327,CapRate,18),BB326)</f>
        <v>53.426480372588159</v>
      </c>
      <c r="BC327" s="72">
        <f>IF(ROUND(AC327/VLOOKUP($C327,CapRate,19),0)&gt;BC326,AC327/VLOOKUP($C327,CapRate,19),BC326)</f>
        <v>61.885790172642757</v>
      </c>
      <c r="BD327" s="72">
        <f>IF(ROUND(AD327/VLOOKUP($C327,CapRate,20),0)&gt;BD326,AD327/VLOOKUP($C327,CapRate,20),BD326)</f>
        <v>70.794701986754973</v>
      </c>
      <c r="BE327" s="72">
        <f>IF(ROUND(AE327/VLOOKUP($C327,CapRate,21),0)&gt;BE326,AE327/VLOOKUP($C327,CapRate,21),BE326)</f>
        <v>77.579365079365076</v>
      </c>
      <c r="BF327" s="72">
        <f>IF(ROUND(AF327/VLOOKUP($C327,CapRate,22),0)&gt;BF326,AF327/VLOOKUP($C327,CapRate,22),BF326)</f>
        <v>80.423280423280417</v>
      </c>
      <c r="BG327" s="72">
        <f>IF(ROUND(AG327/VLOOKUP($C327,CapRate,23),0)&gt;BG326,AG327/VLOOKUP($C327,CapRate,23),BG326)</f>
        <v>83.664021164021165</v>
      </c>
      <c r="BH327" s="72">
        <f>IF(ROUND(AH327/VLOOKUP($C327,CapRate,24),0)&gt;BH326,AH327/VLOOKUP($C327,CapRate,24),BH326)</f>
        <v>87.350993377483448</v>
      </c>
      <c r="BI327" s="72">
        <f>IF(ROUND(AI327/VLOOKUP($C327,CapRate,25),0)&gt;BI326,AI327/VLOOKUP($C327,CapRate,25),BI326)</f>
        <v>86.92767086927671</v>
      </c>
      <c r="BJ327" s="72">
        <f>IF(ROUND(AJ327/VLOOKUP($C327,CapRate,26),0)&gt;BJ326,AJ327/VLOOKUP($C327,CapRate,26),BJ326)</f>
        <v>88.666666666666671</v>
      </c>
      <c r="BK327" s="87">
        <f t="shared" si="58"/>
        <v>2.0005089058524161E-2</v>
      </c>
      <c r="BL327" s="76"/>
      <c r="BM327" s="77"/>
      <c r="BN327" s="77"/>
      <c r="BO327" s="77"/>
      <c r="BP327" s="77">
        <f>BK327</f>
        <v>2.0005089058524161E-2</v>
      </c>
      <c r="BQ327" s="8"/>
      <c r="BS327" s="2"/>
      <c r="BT327" s="2"/>
      <c r="BU327" s="2"/>
      <c r="BV327" s="2"/>
      <c r="BW327" s="2"/>
      <c r="BX327" s="2"/>
      <c r="BY327" s="10"/>
    </row>
    <row r="328" spans="1:77" s="9" customFormat="1" ht="15.9" customHeight="1">
      <c r="A328" s="8" t="s">
        <v>155</v>
      </c>
      <c r="B328" s="22"/>
      <c r="C328" s="8" t="s">
        <v>160</v>
      </c>
      <c r="D328" s="23"/>
      <c r="E328" s="8" t="s">
        <v>40</v>
      </c>
      <c r="F328" s="188">
        <f>[1]AcreSummary!J97</f>
        <v>0.22393633627760912</v>
      </c>
      <c r="G328" s="25"/>
      <c r="H328" s="117"/>
      <c r="I328" s="57">
        <f>[1]Dry!E97</f>
        <v>21.68</v>
      </c>
      <c r="J328" s="58">
        <f>[1]Dry!F97</f>
        <v>20.22</v>
      </c>
      <c r="K328" s="80">
        <f>[1]Dry!G97</f>
        <v>20.89</v>
      </c>
      <c r="L328" s="68">
        <f>[1]Dry!H97</f>
        <v>22</v>
      </c>
      <c r="M328" s="58">
        <f>[1]Dry!I97</f>
        <v>23.73</v>
      </c>
      <c r="N328" s="81">
        <f>[1]Dry!J97</f>
        <v>25.45</v>
      </c>
      <c r="O328" s="62">
        <v>25.53</v>
      </c>
      <c r="P328" s="81">
        <f>[1]Dry!K97</f>
        <v>26.66</v>
      </c>
      <c r="Q328" s="82">
        <f>[1]Dry!L97</f>
        <v>27.89</v>
      </c>
      <c r="R328" s="83">
        <f>Q328*0.95</f>
        <v>26.4955</v>
      </c>
      <c r="S328" s="84">
        <f>[1]Dry!N97</f>
        <v>28.49</v>
      </c>
      <c r="T328" s="66">
        <f>[1]Dry!O97</f>
        <v>29.2</v>
      </c>
      <c r="U328" s="67">
        <f>[1]Dry!P97</f>
        <v>29.46</v>
      </c>
      <c r="V328" s="68">
        <f>[1]Dry!Q97</f>
        <v>23.88</v>
      </c>
      <c r="W328" s="68">
        <f>[1]Dry!R97</f>
        <v>26.15</v>
      </c>
      <c r="X328" s="68">
        <f>[1]Dry!S97</f>
        <v>28.65</v>
      </c>
      <c r="Y328" s="68">
        <f>[1]Dry!T97</f>
        <v>33.200000000000003</v>
      </c>
      <c r="Z328" s="68">
        <v>37.630000000000003</v>
      </c>
      <c r="AA328" s="68">
        <v>42.8</v>
      </c>
      <c r="AB328" s="68">
        <v>48.38</v>
      </c>
      <c r="AC328" s="68">
        <v>53.05</v>
      </c>
      <c r="AD328" s="68">
        <v>54.97</v>
      </c>
      <c r="AE328" s="68">
        <v>55.88</v>
      </c>
      <c r="AF328" s="68">
        <v>57.86</v>
      </c>
      <c r="AG328" s="69">
        <v>59.84</v>
      </c>
      <c r="AH328" s="70">
        <v>58.9</v>
      </c>
      <c r="AI328" s="70">
        <v>54.43</v>
      </c>
      <c r="AJ328" s="70">
        <v>50.64</v>
      </c>
      <c r="AK328" s="8">
        <f t="shared" si="49"/>
        <v>133</v>
      </c>
      <c r="AL328" s="8">
        <f t="shared" si="50"/>
        <v>138</v>
      </c>
      <c r="AM328" s="85">
        <f t="shared" si="51"/>
        <v>143</v>
      </c>
      <c r="AN328" s="23">
        <f t="shared" si="52"/>
        <v>158</v>
      </c>
      <c r="AO328" s="85">
        <f t="shared" ref="AO328:AO363" si="61">ROUND(O328/VLOOKUP($C328,CapRate,6),0)</f>
        <v>177</v>
      </c>
      <c r="AP328" s="72">
        <f t="shared" ref="AP328:AP363" si="62">ROUND(P328/VLOOKUP($C328,CapRate,7),0)</f>
        <v>186</v>
      </c>
      <c r="AQ328" s="71">
        <f t="shared" si="55"/>
        <v>194</v>
      </c>
      <c r="AR328" s="71">
        <f t="shared" si="55"/>
        <v>184</v>
      </c>
      <c r="AS328" s="71">
        <f t="shared" si="59"/>
        <v>197</v>
      </c>
      <c r="AT328" s="71">
        <f t="shared" si="60"/>
        <v>202</v>
      </c>
      <c r="AU328" s="71">
        <f t="shared" si="57"/>
        <v>203</v>
      </c>
      <c r="AV328" s="72">
        <f t="shared" si="56"/>
        <v>162</v>
      </c>
      <c r="AW328" s="72">
        <f>ROUND(W328/VLOOKUP($C328,CapRate,13),0)</f>
        <v>177</v>
      </c>
      <c r="AX328" s="72">
        <f>ROUND(X328/VLOOKUP($C328,CapRate,14),0)</f>
        <v>193</v>
      </c>
      <c r="AY328" s="72">
        <f>ROUND(Y328/VLOOKUP($C328,CapRate,15),0)</f>
        <v>223</v>
      </c>
      <c r="AZ328" s="72">
        <f>ROUND(Z328/VLOOKUP($C328,CapRate,16),0)</f>
        <v>252</v>
      </c>
      <c r="BA328" s="72">
        <f>ROUND(AA328/VLOOKUP($C328,CapRate,17),0)</f>
        <v>286</v>
      </c>
      <c r="BB328" s="72">
        <f>ROUND(AB328/VLOOKUP($C328,CapRate,18),0)</f>
        <v>322</v>
      </c>
      <c r="BC328" s="72">
        <f>ROUND(AC328/VLOOKUP($C328,CapRate,19),0)</f>
        <v>352</v>
      </c>
      <c r="BD328" s="72">
        <f>ROUND(AD328/VLOOKUP($C328,CapRate,20),0)</f>
        <v>364</v>
      </c>
      <c r="BE328" s="72">
        <f>ROUND(AE328/VLOOKUP($C328,CapRate,21),0)</f>
        <v>370</v>
      </c>
      <c r="BF328" s="72">
        <f>ROUND(AF328/VLOOKUP($C328,CapRate,22),0)</f>
        <v>383</v>
      </c>
      <c r="BG328" s="72">
        <f>ROUND(AG328/VLOOKUP($C328,CapRate,23),0)</f>
        <v>396</v>
      </c>
      <c r="BH328" s="72">
        <f>ROUND(AH328/VLOOKUP($C328,CapRate,24),0)</f>
        <v>390</v>
      </c>
      <c r="BI328" s="72">
        <f>ROUND(AI328/VLOOKUP($C328,CapRate,25),0)</f>
        <v>361</v>
      </c>
      <c r="BJ328" s="72">
        <f>ROUND(AJ328/VLOOKUP($C328,CapRate,26),0)</f>
        <v>338</v>
      </c>
      <c r="BK328" s="87">
        <f t="shared" si="58"/>
        <v>-6.3711911357340667E-2</v>
      </c>
      <c r="BL328" s="76"/>
      <c r="BM328" s="218"/>
      <c r="BN328" s="77">
        <f>BK328</f>
        <v>-6.3711911357340667E-2</v>
      </c>
      <c r="BO328" s="77"/>
      <c r="BP328" s="77"/>
      <c r="BQ328" s="8"/>
      <c r="BS328" s="2"/>
      <c r="BT328" s="2"/>
      <c r="BU328" s="2"/>
      <c r="BV328" s="2"/>
      <c r="BW328" s="2"/>
      <c r="BX328" s="2"/>
      <c r="BY328" s="10"/>
    </row>
    <row r="329" spans="1:77" s="9" customFormat="1" ht="15.9" customHeight="1" thickBot="1">
      <c r="A329" s="8" t="s">
        <v>155</v>
      </c>
      <c r="B329" s="22"/>
      <c r="C329" s="90" t="s">
        <v>160</v>
      </c>
      <c r="D329" s="91"/>
      <c r="E329" s="90" t="s">
        <v>41</v>
      </c>
      <c r="F329" s="190">
        <f>[1]AcreSummary!K97</f>
        <v>2.0455891660773589E-3</v>
      </c>
      <c r="G329" s="191">
        <f>[1]Irrigated!D82</f>
        <v>100</v>
      </c>
      <c r="H329" s="94">
        <f>[1]Irrigated!E82</f>
        <v>1</v>
      </c>
      <c r="I329" s="95"/>
      <c r="J329" s="96">
        <f>[1]Irrigated!H82</f>
        <v>53.73</v>
      </c>
      <c r="K329" s="97">
        <f>[1]Irrigated!I82</f>
        <v>56.19</v>
      </c>
      <c r="L329" s="98">
        <f>[1]Irrigated!J82</f>
        <v>57.75</v>
      </c>
      <c r="M329" s="96">
        <f>[1]Irrigated!K82</f>
        <v>59.88</v>
      </c>
      <c r="N329" s="99">
        <f>[1]Irrigated!L82</f>
        <v>61.76</v>
      </c>
      <c r="O329" s="100">
        <v>63.99</v>
      </c>
      <c r="P329" s="99">
        <f>[1]Irrigated!M82</f>
        <v>62.54</v>
      </c>
      <c r="Q329" s="101">
        <f>[1]Irrigated!N82</f>
        <v>60.59</v>
      </c>
      <c r="R329" s="102">
        <v>60.59</v>
      </c>
      <c r="S329" s="103">
        <f>[1]Irrigated!O82</f>
        <v>58.86</v>
      </c>
      <c r="T329" s="104">
        <f>[1]Irrigated!P82</f>
        <v>57.18</v>
      </c>
      <c r="U329" s="105">
        <f>[1]Irrigated!Q82</f>
        <v>51.59</v>
      </c>
      <c r="V329" s="98">
        <f>[1]Irrigated!R82</f>
        <v>37.67</v>
      </c>
      <c r="W329" s="98">
        <f>[1]Irrigated!S82</f>
        <v>39.520000000000003</v>
      </c>
      <c r="X329" s="98">
        <v>41.9</v>
      </c>
      <c r="Y329" s="98">
        <v>46.99</v>
      </c>
      <c r="Z329" s="98">
        <v>54.31</v>
      </c>
      <c r="AA329" s="98">
        <v>60.1</v>
      </c>
      <c r="AB329" s="98">
        <v>70.59</v>
      </c>
      <c r="AC329" s="98">
        <v>80.069999999999993</v>
      </c>
      <c r="AD329" s="98">
        <v>85.66</v>
      </c>
      <c r="AE329" s="98">
        <v>88.09</v>
      </c>
      <c r="AF329" s="98">
        <v>89.62</v>
      </c>
      <c r="AG329" s="106">
        <v>89.84</v>
      </c>
      <c r="AH329" s="107">
        <v>83.31</v>
      </c>
      <c r="AI329" s="107">
        <v>73.290000000000006</v>
      </c>
      <c r="AJ329" s="107">
        <v>62.75</v>
      </c>
      <c r="AK329" s="90">
        <f t="shared" si="49"/>
        <v>353</v>
      </c>
      <c r="AL329" s="90">
        <f t="shared" si="50"/>
        <v>370</v>
      </c>
      <c r="AM329" s="108">
        <f t="shared" si="51"/>
        <v>376</v>
      </c>
      <c r="AN329" s="91">
        <f t="shared" si="52"/>
        <v>399</v>
      </c>
      <c r="AO329" s="108">
        <f t="shared" si="61"/>
        <v>443</v>
      </c>
      <c r="AP329" s="109">
        <f t="shared" si="62"/>
        <v>437</v>
      </c>
      <c r="AQ329" s="110">
        <f t="shared" si="55"/>
        <v>421</v>
      </c>
      <c r="AR329" s="110">
        <f t="shared" si="55"/>
        <v>421</v>
      </c>
      <c r="AS329" s="110">
        <f t="shared" si="59"/>
        <v>408</v>
      </c>
      <c r="AT329" s="110">
        <f t="shared" si="60"/>
        <v>396</v>
      </c>
      <c r="AU329" s="110">
        <f t="shared" si="57"/>
        <v>356</v>
      </c>
      <c r="AV329" s="109">
        <f t="shared" si="56"/>
        <v>255</v>
      </c>
      <c r="AW329" s="109">
        <f>ROUND(W329/VLOOKUP($C329,CapRate,13),0)</f>
        <v>267</v>
      </c>
      <c r="AX329" s="72">
        <f>ROUND(X329/VLOOKUP($C329,CapRate,14),0)</f>
        <v>283</v>
      </c>
      <c r="AY329" s="72">
        <f>ROUND(Y329/VLOOKUP($C329,CapRate,15),0)</f>
        <v>316</v>
      </c>
      <c r="AZ329" s="72">
        <f>ROUND(Z329/VLOOKUP($C329,CapRate,16),0)</f>
        <v>364</v>
      </c>
      <c r="BA329" s="72">
        <f>ROUND(AA329/VLOOKUP($C329,CapRate,17),0)</f>
        <v>401</v>
      </c>
      <c r="BB329" s="72">
        <f>ROUND(AB329/VLOOKUP($C329,CapRate,18),0)</f>
        <v>470</v>
      </c>
      <c r="BC329" s="72">
        <f>ROUND(AC329/VLOOKUP($C329,CapRate,19),0)</f>
        <v>532</v>
      </c>
      <c r="BD329" s="72">
        <f>ROUND(AD329/VLOOKUP($C329,CapRate,20),0)</f>
        <v>567</v>
      </c>
      <c r="BE329" s="72">
        <f>ROUND(AE329/VLOOKUP($C329,CapRate,21),0)</f>
        <v>583</v>
      </c>
      <c r="BF329" s="72">
        <f>ROUND(AF329/VLOOKUP($C329,CapRate,22),0)</f>
        <v>593</v>
      </c>
      <c r="BG329" s="72">
        <f>ROUND(AG329/VLOOKUP($C329,CapRate,23),0)</f>
        <v>594</v>
      </c>
      <c r="BH329" s="72">
        <f>ROUND(AH329/VLOOKUP($C329,CapRate,24),0)</f>
        <v>552</v>
      </c>
      <c r="BI329" s="72">
        <f>ROUND(AI329/VLOOKUP($C329,CapRate,25),0)</f>
        <v>486</v>
      </c>
      <c r="BJ329" s="72">
        <f>ROUND(AJ329/VLOOKUP($C329,CapRate,26),0)</f>
        <v>418</v>
      </c>
      <c r="BK329" s="193">
        <f t="shared" si="58"/>
        <v>-0.13991769547325106</v>
      </c>
      <c r="BL329" s="114">
        <f>((F326*BK326)+(F327*BK327)+(F328*BK328)+(F329*BK329))</f>
        <v>9.3067438579718721E-4</v>
      </c>
      <c r="BM329" s="226"/>
      <c r="BN329" s="227"/>
      <c r="BO329" s="227">
        <f>BK329</f>
        <v>-0.13991769547325106</v>
      </c>
      <c r="BP329" s="227"/>
      <c r="BQ329" s="8"/>
      <c r="BS329" s="2"/>
      <c r="BT329" s="2"/>
      <c r="BU329" s="2"/>
      <c r="BV329" s="2"/>
      <c r="BW329" s="2"/>
      <c r="BX329" s="2"/>
      <c r="BY329" s="10"/>
    </row>
    <row r="330" spans="1:77" s="9" customFormat="1" ht="15.9" customHeight="1" thickTop="1">
      <c r="A330" s="8" t="s">
        <v>155</v>
      </c>
      <c r="B330" s="22"/>
      <c r="C330" s="8" t="s">
        <v>161</v>
      </c>
      <c r="D330" s="23" t="s">
        <v>161</v>
      </c>
      <c r="E330" s="8" t="s">
        <v>39</v>
      </c>
      <c r="F330" s="188">
        <f>[1]AcreSummary!M98</f>
        <v>0.89568321097362624</v>
      </c>
      <c r="G330" s="25"/>
      <c r="H330" s="117"/>
      <c r="I330" s="57">
        <f>[1]Native!E96</f>
        <v>7.32</v>
      </c>
      <c r="J330" s="58">
        <f>[1]Native!F96</f>
        <v>7.31</v>
      </c>
      <c r="K330" s="80">
        <f>[1]Native!G96</f>
        <v>7.56</v>
      </c>
      <c r="L330" s="68">
        <f>[1]Native!H96</f>
        <v>7.69</v>
      </c>
      <c r="M330" s="58">
        <f>[1]Native!I96</f>
        <v>7.99</v>
      </c>
      <c r="N330" s="81">
        <f>[1]Native!J96</f>
        <v>8.26</v>
      </c>
      <c r="O330" s="62">
        <v>7.61</v>
      </c>
      <c r="P330" s="81">
        <f>[1]Native!K96</f>
        <v>8.66</v>
      </c>
      <c r="Q330" s="82">
        <f>[1]Native!L96</f>
        <v>8.1199999999999992</v>
      </c>
      <c r="R330" s="83">
        <v>8.1199999999999992</v>
      </c>
      <c r="S330" s="84">
        <f>[1]Native!M96</f>
        <v>7.62</v>
      </c>
      <c r="T330" s="66">
        <f>[1]Native!N96</f>
        <v>7</v>
      </c>
      <c r="U330" s="67">
        <f>[1]Native!O96</f>
        <v>6.11</v>
      </c>
      <c r="V330" s="68">
        <f>[1]Native!P96</f>
        <v>2.68</v>
      </c>
      <c r="W330" s="68">
        <f>[1]Native!Q96</f>
        <v>2.69</v>
      </c>
      <c r="X330" s="68">
        <v>3.3</v>
      </c>
      <c r="Y330" s="68">
        <v>3.99</v>
      </c>
      <c r="Z330" s="68">
        <v>5.08</v>
      </c>
      <c r="AA330" s="68">
        <v>6.27</v>
      </c>
      <c r="AB330" s="68">
        <v>7.45</v>
      </c>
      <c r="AC330" s="68">
        <v>8.73</v>
      </c>
      <c r="AD330" s="68">
        <v>10.09</v>
      </c>
      <c r="AE330" s="68">
        <v>11.12</v>
      </c>
      <c r="AF330" s="68">
        <v>11.52</v>
      </c>
      <c r="AG330" s="69">
        <v>12</v>
      </c>
      <c r="AH330" s="70">
        <v>12.51</v>
      </c>
      <c r="AI330" s="70">
        <v>12.41</v>
      </c>
      <c r="AJ330" s="70">
        <v>12.58</v>
      </c>
      <c r="AK330" s="8">
        <f t="shared" ref="AK330:AK363" si="63">ROUND(J330/VLOOKUP($C330,CapRate,2),0)</f>
        <v>48</v>
      </c>
      <c r="AL330" s="8">
        <f t="shared" ref="AL330:AL363" si="64">ROUND(K330/VLOOKUP($C330,CapRate,3),0)</f>
        <v>50</v>
      </c>
      <c r="AM330" s="85">
        <f t="shared" ref="AM330:AM363" si="65">ROUND(L330/VLOOKUP($C330,CapRate,4),0)</f>
        <v>50</v>
      </c>
      <c r="AN330" s="23">
        <f t="shared" ref="AN330:AN363" si="66">ROUND(M330/VLOOKUP($C330,CapRate,5),0)</f>
        <v>53</v>
      </c>
      <c r="AO330" s="85">
        <f t="shared" si="61"/>
        <v>52</v>
      </c>
      <c r="AP330" s="72">
        <f t="shared" si="62"/>
        <v>60</v>
      </c>
      <c r="AQ330" s="71">
        <f t="shared" si="55"/>
        <v>56</v>
      </c>
      <c r="AR330" s="71">
        <f t="shared" si="55"/>
        <v>56</v>
      </c>
      <c r="AS330" s="71">
        <f t="shared" si="59"/>
        <v>53</v>
      </c>
      <c r="AT330" s="71">
        <f t="shared" si="60"/>
        <v>48</v>
      </c>
      <c r="AU330" s="71">
        <f t="shared" si="57"/>
        <v>42</v>
      </c>
      <c r="AV330" s="72">
        <f t="shared" si="56"/>
        <v>18</v>
      </c>
      <c r="AW330" s="72">
        <f>ROUND(W330/VLOOKUP($C330,CapRate,13),0)</f>
        <v>18</v>
      </c>
      <c r="AX330" s="122">
        <f>IF(ROUND(X330/VLOOKUP($C330,CapRate,14),0)&gt;10,X330/VLOOKUP($C330,CapRate,14),10)</f>
        <v>21.428571428571427</v>
      </c>
      <c r="AY330" s="122">
        <f>IF(ROUND(Y330/VLOOKUP($C330,CapRate,15),0)&gt;10,Y330/VLOOKUP($C330,CapRate,15),10)</f>
        <v>25.495207667731631</v>
      </c>
      <c r="AZ330" s="122">
        <f>IF(ROUND(Z330/VLOOKUP($C330,CapRate,16),0)&gt;10,Z330/VLOOKUP($C330,CapRate,16),10)</f>
        <v>32.315521628498729</v>
      </c>
      <c r="BA330" s="122">
        <f>IF(ROUND(AA330/VLOOKUP($C330,CapRate,17),0)&gt;10,AA330/VLOOKUP($C330,CapRate,17),10)</f>
        <v>39.335006273525721</v>
      </c>
      <c r="BB330" s="122">
        <f>IF(ROUND(AB330/VLOOKUP($C330,CapRate,18),0)&gt;10,AB330/VLOOKUP($C330,CapRate,18),10)</f>
        <v>46.417445482866043</v>
      </c>
      <c r="BC330" s="122">
        <f>IF(ROUND(AC330/VLOOKUP($C330,CapRate,19),0)&gt;10,AC330/VLOOKUP($C330,CapRate,19),10)</f>
        <v>54.022277227722775</v>
      </c>
      <c r="BD330" s="122">
        <f>IF(ROUND(AD330/VLOOKUP($C330,CapRate,20),0)&gt;10,AD330/VLOOKUP($C330,CapRate,20),10)</f>
        <v>62.283950617283949</v>
      </c>
      <c r="BE330" s="122">
        <f>IF(ROUND(AE330/VLOOKUP($C330,CapRate,21),0)&gt;10,AE330/VLOOKUP($C330,CapRate,21),10)</f>
        <v>68.641975308641975</v>
      </c>
      <c r="BF330" s="122">
        <f>IF(ROUND(AF330/VLOOKUP($C330,CapRate,22),0)&gt;10,AF330/VLOOKUP($C330,CapRate,22),10)</f>
        <v>71.287128712871294</v>
      </c>
      <c r="BG330" s="122">
        <f>IF(ROUND(AG330/VLOOKUP($C330,CapRate,23),0)&gt;10,AG330/VLOOKUP($C330,CapRate,23),10)</f>
        <v>74.487895716945999</v>
      </c>
      <c r="BH330" s="122">
        <f>IF(ROUND(AH330/VLOOKUP($C330,CapRate,24),0)&gt;10,AH330/VLOOKUP($C330,CapRate,24),10)</f>
        <v>78.041172800998126</v>
      </c>
      <c r="BI330" s="122">
        <f>IF(ROUND(AI330/VLOOKUP($C330,CapRate,25),0)&gt;10,AI330/VLOOKUP($C330,CapRate,25),10)</f>
        <v>77.854454203262236</v>
      </c>
      <c r="BJ330" s="122">
        <f>IF(ROUND(AJ330/VLOOKUP($C330,CapRate,26),0)&gt;10,AJ330/VLOOKUP($C330,CapRate,26),10)</f>
        <v>79.620253164556956</v>
      </c>
      <c r="BK330" s="75">
        <f t="shared" si="58"/>
        <v>2.2680769897693631E-2</v>
      </c>
      <c r="BL330" s="76"/>
      <c r="BM330" s="219">
        <f>BK330</f>
        <v>2.2680769897693631E-2</v>
      </c>
      <c r="BN330" s="220"/>
      <c r="BO330" s="220"/>
      <c r="BP330" s="220"/>
      <c r="BQ330" s="8"/>
      <c r="BS330" s="2"/>
      <c r="BT330" s="2"/>
      <c r="BU330" s="2"/>
      <c r="BV330" s="2"/>
      <c r="BW330" s="2"/>
      <c r="BX330" s="2"/>
      <c r="BY330" s="10"/>
    </row>
    <row r="331" spans="1:77" s="9" customFormat="1" ht="15.9" customHeight="1">
      <c r="A331" s="8"/>
      <c r="B331" s="22"/>
      <c r="C331" s="8" t="s">
        <v>161</v>
      </c>
      <c r="D331" s="23"/>
      <c r="E331" s="8" t="s">
        <v>85</v>
      </c>
      <c r="F331" s="188">
        <f>[1]AcreSummary!L98</f>
        <v>5.4999950233239378E-2</v>
      </c>
      <c r="G331" s="25"/>
      <c r="H331" s="117"/>
      <c r="I331" s="57"/>
      <c r="J331" s="58">
        <f>[1]Tame!D65</f>
        <v>14.82</v>
      </c>
      <c r="K331" s="80">
        <f>[1]Tame!E65</f>
        <v>14.93</v>
      </c>
      <c r="L331" s="68">
        <f>[1]Tame!F65</f>
        <v>14.76</v>
      </c>
      <c r="M331" s="58">
        <f>[1]Tame!G65</f>
        <v>14.82</v>
      </c>
      <c r="N331" s="81">
        <f>[1]Tame!H65</f>
        <v>14.45</v>
      </c>
      <c r="O331" s="62">
        <v>14.47</v>
      </c>
      <c r="P331" s="81">
        <f>[1]Tame!I65</f>
        <v>14.12</v>
      </c>
      <c r="Q331" s="82">
        <f>[1]Tame!J65</f>
        <v>13.24</v>
      </c>
      <c r="R331" s="83">
        <v>13.24</v>
      </c>
      <c r="S331" s="84">
        <f>[1]Tame!K65</f>
        <v>12.16</v>
      </c>
      <c r="T331" s="66">
        <f>[1]Tame!L65</f>
        <v>10.64</v>
      </c>
      <c r="U331" s="67">
        <f>[1]Tame!M65</f>
        <v>9.41</v>
      </c>
      <c r="V331" s="68">
        <f>[1]Tame!N65</f>
        <v>2.36</v>
      </c>
      <c r="W331" s="68">
        <f>[1]Tame!O65</f>
        <v>2.64</v>
      </c>
      <c r="X331" s="68">
        <v>3.61</v>
      </c>
      <c r="Y331" s="68">
        <v>4.6900000000000004</v>
      </c>
      <c r="Z331" s="68">
        <v>7.22</v>
      </c>
      <c r="AA331" s="68">
        <v>9.59</v>
      </c>
      <c r="AB331" s="68">
        <v>11.42</v>
      </c>
      <c r="AC331" s="68">
        <v>13.32</v>
      </c>
      <c r="AD331" s="68">
        <v>14.34</v>
      </c>
      <c r="AE331" s="68">
        <v>15.44</v>
      </c>
      <c r="AF331" s="68">
        <v>15.85</v>
      </c>
      <c r="AG331" s="69">
        <v>16.32</v>
      </c>
      <c r="AH331" s="70">
        <v>16.850000000000001</v>
      </c>
      <c r="AI331" s="70">
        <v>17.3</v>
      </c>
      <c r="AJ331" s="70">
        <v>18.11</v>
      </c>
      <c r="AK331" s="8">
        <f>ROUND(J331/VLOOKUP($C331,CapRate,2),0)</f>
        <v>98</v>
      </c>
      <c r="AL331" s="8">
        <f>ROUND(K331/VLOOKUP($C331,CapRate,3),0)</f>
        <v>98</v>
      </c>
      <c r="AM331" s="85">
        <f>ROUND(L331/VLOOKUP($C331,CapRate,4),0)</f>
        <v>96</v>
      </c>
      <c r="AN331" s="23">
        <f>ROUND(M331/VLOOKUP($C331,CapRate,5),0)</f>
        <v>98</v>
      </c>
      <c r="AO331" s="85">
        <f t="shared" si="61"/>
        <v>100</v>
      </c>
      <c r="AP331" s="72">
        <f t="shared" si="62"/>
        <v>98</v>
      </c>
      <c r="AQ331" s="71">
        <f t="shared" si="55"/>
        <v>92</v>
      </c>
      <c r="AR331" s="71">
        <f t="shared" si="55"/>
        <v>92</v>
      </c>
      <c r="AS331" s="71">
        <f t="shared" si="59"/>
        <v>84</v>
      </c>
      <c r="AT331" s="71">
        <f t="shared" si="60"/>
        <v>74</v>
      </c>
      <c r="AU331" s="71">
        <f t="shared" si="57"/>
        <v>65</v>
      </c>
      <c r="AV331" s="72">
        <f>IF(ROUND(V331/VLOOKUP($C331,CapRate,12),0)&gt;AV330,V331/VLOOKUP($C331,CapRate,12),AV330)</f>
        <v>18</v>
      </c>
      <c r="AW331" s="72">
        <f>IF(ROUND(W331/VLOOKUP($C331,CapRate,13),0)&gt;AW330,W331/VLOOKUP($C331,CapRate,13),AW330)</f>
        <v>18</v>
      </c>
      <c r="AX331" s="72">
        <f>IF(ROUND(X331/VLOOKUP($C331,CapRate,14),0)&gt;AX330,X331/VLOOKUP($C331,CapRate,14),AX330)</f>
        <v>23.441558441558442</v>
      </c>
      <c r="AY331" s="72">
        <f>IF(ROUND(Y331/VLOOKUP($C331,CapRate,15),0)&gt;AY330,Y331/VLOOKUP($C331,CapRate,15),AY330)</f>
        <v>29.968051118210866</v>
      </c>
      <c r="AZ331" s="72">
        <f>IF(ROUND(Z331/VLOOKUP($C331,CapRate,16),0)&gt;AZ330,Z331/VLOOKUP($C331,CapRate,16),AZ330)</f>
        <v>45.928753180661573</v>
      </c>
      <c r="BA331" s="72">
        <f>IF(ROUND(AA331/VLOOKUP($C331,CapRate,17),0)&gt;BA330,AA331/VLOOKUP($C331,CapRate,17),BA330)</f>
        <v>60.16311166875785</v>
      </c>
      <c r="BB331" s="72">
        <f>IF(ROUND(AB331/VLOOKUP($C331,CapRate,18),0)&gt;BB330,AB331/VLOOKUP($C331,CapRate,18),BB330)</f>
        <v>71.152647975077883</v>
      </c>
      <c r="BC331" s="72">
        <f>IF(ROUND(AC331/VLOOKUP($C331,CapRate,19),0)&gt;BC330,AC331/VLOOKUP($C331,CapRate,19),BC330)</f>
        <v>82.425742574257427</v>
      </c>
      <c r="BD331" s="72">
        <f>IF(ROUND(AD331/VLOOKUP($C331,CapRate,20),0)&gt;BD330,AD331/VLOOKUP($C331,CapRate,20),BD330)</f>
        <v>88.518518518518519</v>
      </c>
      <c r="BE331" s="72">
        <f>IF(ROUND(AE331/VLOOKUP($C331,CapRate,21),0)&gt;BE330,AE331/VLOOKUP($C331,CapRate,21),BE330)</f>
        <v>95.308641975308632</v>
      </c>
      <c r="BF331" s="72">
        <f>IF(ROUND(AF331/VLOOKUP($C331,CapRate,22),0)&gt;BF330,AF331/VLOOKUP($C331,CapRate,22),BF330)</f>
        <v>98.081683168316829</v>
      </c>
      <c r="BG331" s="72">
        <f>IF(ROUND(AG331/VLOOKUP($C331,CapRate,23),0)&gt;BG330,AG331/VLOOKUP($C331,CapRate,23),BG330)</f>
        <v>101.30353817504655</v>
      </c>
      <c r="BH331" s="72">
        <f>IF(ROUND(AH331/VLOOKUP($C331,CapRate,24),0)&gt;BH330,AH331/VLOOKUP($C331,CapRate,24),BH330)</f>
        <v>105.1154086088584</v>
      </c>
      <c r="BI331" s="72">
        <f>IF(ROUND(AI331/VLOOKUP($C331,CapRate,25),0)&gt;BI330,AI331/VLOOKUP($C331,CapRate,25),BI330)</f>
        <v>108.53199498117944</v>
      </c>
      <c r="BJ331" s="72">
        <f>IF(ROUND(AJ331/VLOOKUP($C331,CapRate,26),0)&gt;BJ330,AJ331/VLOOKUP($C331,CapRate,26),BJ330)</f>
        <v>114.62025316455696</v>
      </c>
      <c r="BK331" s="87">
        <f t="shared" si="58"/>
        <v>5.609643667227604E-2</v>
      </c>
      <c r="BL331" s="76"/>
      <c r="BM331" s="77"/>
      <c r="BN331" s="77"/>
      <c r="BO331" s="77"/>
      <c r="BP331" s="77">
        <f>BK331</f>
        <v>5.609643667227604E-2</v>
      </c>
      <c r="BQ331" s="8"/>
      <c r="BS331" s="2"/>
      <c r="BT331" s="2"/>
      <c r="BU331" s="2"/>
      <c r="BV331" s="2"/>
      <c r="BW331" s="2"/>
      <c r="BX331" s="2"/>
      <c r="BY331" s="10"/>
    </row>
    <row r="332" spans="1:77" s="9" customFormat="1" ht="15.9" customHeight="1" thickBot="1">
      <c r="A332" s="8" t="s">
        <v>155</v>
      </c>
      <c r="B332" s="22"/>
      <c r="C332" s="90" t="s">
        <v>161</v>
      </c>
      <c r="D332" s="91"/>
      <c r="E332" s="90" t="s">
        <v>40</v>
      </c>
      <c r="F332" s="190">
        <f>[1]AcreSummary!J98</f>
        <v>4.9266314163059259E-2</v>
      </c>
      <c r="G332" s="191"/>
      <c r="H332" s="94"/>
      <c r="I332" s="95">
        <f>[1]Dry!E98</f>
        <v>20.76</v>
      </c>
      <c r="J332" s="96">
        <f>[1]Dry!F98</f>
        <v>20.87</v>
      </c>
      <c r="K332" s="97">
        <f>[1]Dry!G98</f>
        <v>21.34</v>
      </c>
      <c r="L332" s="98">
        <f>[1]Dry!H98</f>
        <v>22.23</v>
      </c>
      <c r="M332" s="96">
        <f>[1]Dry!I98</f>
        <v>23.57</v>
      </c>
      <c r="N332" s="99">
        <f>[1]Dry!J98</f>
        <v>24.77</v>
      </c>
      <c r="O332" s="100">
        <v>24.37</v>
      </c>
      <c r="P332" s="99">
        <f>[1]Dry!K98</f>
        <v>25.14</v>
      </c>
      <c r="Q332" s="101">
        <f>[1]Dry!L98</f>
        <v>25.77</v>
      </c>
      <c r="R332" s="221">
        <f>Q332*0.95</f>
        <v>24.481499999999997</v>
      </c>
      <c r="S332" s="103">
        <f>[1]Dry!N98</f>
        <v>25.47</v>
      </c>
      <c r="T332" s="104">
        <f>[1]Dry!O98</f>
        <v>26.1</v>
      </c>
      <c r="U332" s="105">
        <f>[1]Dry!P98</f>
        <v>25.42</v>
      </c>
      <c r="V332" s="98">
        <f>[1]Dry!Q98</f>
        <v>21.3</v>
      </c>
      <c r="W332" s="98">
        <f>[1]Dry!R98</f>
        <v>22.62</v>
      </c>
      <c r="X332" s="98">
        <f>[1]Dry!S98</f>
        <v>23.3</v>
      </c>
      <c r="Y332" s="98">
        <f>[1]Dry!T98</f>
        <v>25.26</v>
      </c>
      <c r="Z332" s="98">
        <v>26.98</v>
      </c>
      <c r="AA332" s="98">
        <v>29.89</v>
      </c>
      <c r="AB332" s="98">
        <v>33.090000000000003</v>
      </c>
      <c r="AC332" s="98">
        <v>36.1</v>
      </c>
      <c r="AD332" s="98">
        <v>37.93</v>
      </c>
      <c r="AE332" s="98">
        <v>38.840000000000003</v>
      </c>
      <c r="AF332" s="98">
        <v>41.14</v>
      </c>
      <c r="AG332" s="106">
        <v>42.75</v>
      </c>
      <c r="AH332" s="107">
        <v>42.77</v>
      </c>
      <c r="AI332" s="107">
        <v>38.56</v>
      </c>
      <c r="AJ332" s="107">
        <v>34.520000000000003</v>
      </c>
      <c r="AK332" s="90">
        <f t="shared" si="63"/>
        <v>138</v>
      </c>
      <c r="AL332" s="90">
        <f t="shared" si="64"/>
        <v>141</v>
      </c>
      <c r="AM332" s="108">
        <f t="shared" si="65"/>
        <v>145</v>
      </c>
      <c r="AN332" s="91">
        <f t="shared" si="66"/>
        <v>156</v>
      </c>
      <c r="AO332" s="108">
        <f t="shared" si="61"/>
        <v>168</v>
      </c>
      <c r="AP332" s="109">
        <f t="shared" si="62"/>
        <v>175</v>
      </c>
      <c r="AQ332" s="110">
        <f t="shared" si="55"/>
        <v>179</v>
      </c>
      <c r="AR332" s="222">
        <f t="shared" si="55"/>
        <v>170</v>
      </c>
      <c r="AS332" s="110">
        <f t="shared" si="59"/>
        <v>176</v>
      </c>
      <c r="AT332" s="110">
        <f t="shared" si="60"/>
        <v>180</v>
      </c>
      <c r="AU332" s="110">
        <f t="shared" si="57"/>
        <v>175</v>
      </c>
      <c r="AV332" s="109">
        <f t="shared" si="56"/>
        <v>141</v>
      </c>
      <c r="AW332" s="109">
        <f>ROUND(W332/VLOOKUP($C332,CapRate,13),0)</f>
        <v>148</v>
      </c>
      <c r="AX332" s="72">
        <f>ROUND(X332/VLOOKUP($C332,CapRate,14),0)</f>
        <v>151</v>
      </c>
      <c r="AY332" s="72">
        <f>ROUND(Y332/VLOOKUP($C332,CapRate,15),0)</f>
        <v>161</v>
      </c>
      <c r="AZ332" s="72">
        <f>ROUND(Z332/VLOOKUP($C332,CapRate,16),0)</f>
        <v>172</v>
      </c>
      <c r="BA332" s="72">
        <f>ROUND(AA332/VLOOKUP($C332,CapRate,17),0)</f>
        <v>188</v>
      </c>
      <c r="BB332" s="72">
        <f>ROUND(AB332/VLOOKUP($C332,CapRate,18),0)</f>
        <v>206</v>
      </c>
      <c r="BC332" s="72">
        <f>ROUND(AC332/VLOOKUP($C332,CapRate,19),0)</f>
        <v>223</v>
      </c>
      <c r="BD332" s="72">
        <f>ROUND(AD332/VLOOKUP($C332,CapRate,20),0)</f>
        <v>234</v>
      </c>
      <c r="BE332" s="72">
        <f>ROUND(AE332/VLOOKUP($C332,CapRate,21),0)</f>
        <v>240</v>
      </c>
      <c r="BF332" s="72">
        <f>ROUND(AF332/VLOOKUP($C332,CapRate,22),0)</f>
        <v>255</v>
      </c>
      <c r="BG332" s="72">
        <f>ROUND(AG332/VLOOKUP($C332,CapRate,23),0)</f>
        <v>265</v>
      </c>
      <c r="BH332" s="72">
        <f>ROUND(AH332/VLOOKUP($C332,CapRate,24),0)</f>
        <v>267</v>
      </c>
      <c r="BI332" s="72">
        <f>ROUND(AI332/VLOOKUP($C332,CapRate,25),0)</f>
        <v>242</v>
      </c>
      <c r="BJ332" s="72">
        <f>ROUND(AJ332/VLOOKUP($C332,CapRate,26),0)</f>
        <v>218</v>
      </c>
      <c r="BK332" s="87">
        <f t="shared" si="58"/>
        <v>-9.9173553719008267E-2</v>
      </c>
      <c r="BL332" s="114">
        <v>0</v>
      </c>
      <c r="BM332" s="226"/>
      <c r="BN332" s="227">
        <f>BK332</f>
        <v>-9.9173553719008267E-2</v>
      </c>
      <c r="BO332" s="227"/>
      <c r="BP332" s="227"/>
      <c r="BQ332" s="228" t="s">
        <v>142</v>
      </c>
      <c r="BS332" s="2"/>
      <c r="BT332" s="2"/>
      <c r="BU332" s="2"/>
      <c r="BV332" s="2"/>
      <c r="BW332" s="2"/>
      <c r="BX332" s="2"/>
      <c r="BY332" s="10"/>
    </row>
    <row r="333" spans="1:77" s="9" customFormat="1" ht="15.9" customHeight="1" thickTop="1">
      <c r="A333" s="8" t="s">
        <v>155</v>
      </c>
      <c r="B333" s="22"/>
      <c r="C333" s="8" t="s">
        <v>162</v>
      </c>
      <c r="D333" s="23" t="s">
        <v>162</v>
      </c>
      <c r="E333" s="8" t="s">
        <v>39</v>
      </c>
      <c r="F333" s="188">
        <f>[1]AcreSummary!M99</f>
        <v>0.26699825468607058</v>
      </c>
      <c r="G333" s="25"/>
      <c r="H333" s="117"/>
      <c r="I333" s="57">
        <f>[1]Native!E97</f>
        <v>8.31</v>
      </c>
      <c r="J333" s="58">
        <f>[1]Native!F97</f>
        <v>10.26</v>
      </c>
      <c r="K333" s="80">
        <f>[1]Native!G97</f>
        <v>10.48</v>
      </c>
      <c r="L333" s="68">
        <f>[1]Native!H97</f>
        <v>10.44</v>
      </c>
      <c r="M333" s="58">
        <f>[1]Native!I97</f>
        <v>10.58</v>
      </c>
      <c r="N333" s="81">
        <f>[1]Native!J97</f>
        <v>10.72</v>
      </c>
      <c r="O333" s="62">
        <v>10.89</v>
      </c>
      <c r="P333" s="81">
        <f>[1]Native!K97</f>
        <v>10.9</v>
      </c>
      <c r="Q333" s="82">
        <f>[1]Native!L97</f>
        <v>10.210000000000001</v>
      </c>
      <c r="R333" s="83">
        <v>10.210000000000001</v>
      </c>
      <c r="S333" s="84">
        <f>[1]Native!M97</f>
        <v>9.57</v>
      </c>
      <c r="T333" s="66">
        <f>[1]Native!N97</f>
        <v>8.86</v>
      </c>
      <c r="U333" s="67">
        <f>[1]Native!O97</f>
        <v>7.95</v>
      </c>
      <c r="V333" s="68">
        <f>[1]Native!P97</f>
        <v>5.49</v>
      </c>
      <c r="W333" s="68">
        <v>6.81</v>
      </c>
      <c r="X333" s="68">
        <v>7.69</v>
      </c>
      <c r="Y333" s="68">
        <v>8.67</v>
      </c>
      <c r="Z333" s="68">
        <v>10.050000000000001</v>
      </c>
      <c r="AA333" s="68">
        <v>11.57</v>
      </c>
      <c r="AB333" s="68">
        <v>13.43</v>
      </c>
      <c r="AC333" s="68">
        <v>14.87</v>
      </c>
      <c r="AD333" s="68">
        <v>16.48</v>
      </c>
      <c r="AE333" s="68">
        <v>17.600000000000001</v>
      </c>
      <c r="AF333" s="68">
        <v>18.03</v>
      </c>
      <c r="AG333" s="69">
        <v>18.68</v>
      </c>
      <c r="AH333" s="70">
        <v>19.43</v>
      </c>
      <c r="AI333" s="70">
        <v>19.53</v>
      </c>
      <c r="AJ333" s="70">
        <v>19.920000000000002</v>
      </c>
      <c r="AK333" s="8">
        <f t="shared" si="63"/>
        <v>71</v>
      </c>
      <c r="AL333" s="8">
        <f t="shared" si="64"/>
        <v>73</v>
      </c>
      <c r="AM333" s="85">
        <f t="shared" si="65"/>
        <v>72</v>
      </c>
      <c r="AN333" s="23">
        <f t="shared" si="66"/>
        <v>75</v>
      </c>
      <c r="AO333" s="85">
        <f t="shared" si="61"/>
        <v>81</v>
      </c>
      <c r="AP333" s="72">
        <f t="shared" si="62"/>
        <v>82</v>
      </c>
      <c r="AQ333" s="71">
        <f t="shared" si="55"/>
        <v>77</v>
      </c>
      <c r="AR333" s="71">
        <f t="shared" si="55"/>
        <v>77</v>
      </c>
      <c r="AS333" s="71">
        <f t="shared" si="59"/>
        <v>72</v>
      </c>
      <c r="AT333" s="71">
        <f t="shared" si="60"/>
        <v>67</v>
      </c>
      <c r="AU333" s="71">
        <f t="shared" si="57"/>
        <v>60</v>
      </c>
      <c r="AV333" s="72">
        <f t="shared" si="56"/>
        <v>40</v>
      </c>
      <c r="AW333" s="72">
        <f>ROUND(W333/VLOOKUP($C333,CapRate,13),0)</f>
        <v>49</v>
      </c>
      <c r="AX333" s="122">
        <f>IF(ROUND(X333/VLOOKUP($C333,CapRate,14),0)&gt;10,X333/VLOOKUP($C333,CapRate,14),10)</f>
        <v>55.483405483405484</v>
      </c>
      <c r="AY333" s="122">
        <f>IF(ROUND(Y333/VLOOKUP($C333,CapRate,15),0)&gt;10,Y333/VLOOKUP($C333,CapRate,15),10)</f>
        <v>62.106017191977074</v>
      </c>
      <c r="AZ333" s="122">
        <f>IF(ROUND(Z333/VLOOKUP($C333,CapRate,16),0)&gt;10,Z333/VLOOKUP($C333,CapRate,16),10)</f>
        <v>71.991404011461327</v>
      </c>
      <c r="BA333" s="122">
        <f>IF(ROUND(AA333/VLOOKUP($C333,CapRate,17),0)&gt;10,AA333/VLOOKUP($C333,CapRate,17),10)</f>
        <v>82.642857142857139</v>
      </c>
      <c r="BB333" s="122">
        <f>IF(ROUND(AB333/VLOOKUP($C333,CapRate,18),0)&gt;10,AB333/VLOOKUP($C333,CapRate,18),10)</f>
        <v>95.791726105563484</v>
      </c>
      <c r="BC333" s="122">
        <f>IF(ROUND(AC333/VLOOKUP($C333,CapRate,19),0)&gt;10,AC333/VLOOKUP($C333,CapRate,19),10)</f>
        <v>106.06276747503567</v>
      </c>
      <c r="BD333" s="122">
        <f>IF(ROUND(AD333/VLOOKUP($C333,CapRate,20),0)&gt;10,AD333/VLOOKUP($C333,CapRate,20),10)</f>
        <v>117.46258018531718</v>
      </c>
      <c r="BE333" s="122">
        <f>IF(ROUND(AE333/VLOOKUP($C333,CapRate,21),0)&gt;10,AE333/VLOOKUP($C333,CapRate,21),10)</f>
        <v>125.26690391459074</v>
      </c>
      <c r="BF333" s="122">
        <f>IF(ROUND(AF333/VLOOKUP($C333,CapRate,22),0)&gt;10,AF333/VLOOKUP($C333,CapRate,22),10)</f>
        <v>128.32740213523132</v>
      </c>
      <c r="BG333" s="122">
        <f>IF(ROUND(AG333/VLOOKUP($C333,CapRate,23),0)&gt;10,AG333/VLOOKUP($C333,CapRate,23),10)</f>
        <v>132.85917496443813</v>
      </c>
      <c r="BH333" s="122">
        <f>IF(ROUND(AH333/VLOOKUP($C333,CapRate,24),0)&gt;10,AH333/VLOOKUP($C333,CapRate,24),10)</f>
        <v>138.29181494661921</v>
      </c>
      <c r="BI333" s="122">
        <f>IF(ROUND(AI333/VLOOKUP($C333,CapRate,25),0)&gt;10,AI333/VLOOKUP($C333,CapRate,25),10)</f>
        <v>139.10256410256412</v>
      </c>
      <c r="BJ333" s="122">
        <f>IF(ROUND(AJ333/VLOOKUP($C333,CapRate,26),0)&gt;10,AJ333/VLOOKUP($C333,CapRate,26),10)</f>
        <v>142.18415417558887</v>
      </c>
      <c r="BK333" s="75">
        <f t="shared" si="58"/>
        <v>2.2153366423588006E-2</v>
      </c>
      <c r="BL333" s="76"/>
      <c r="BM333" s="219">
        <f>BK333</f>
        <v>2.2153366423588006E-2</v>
      </c>
      <c r="BN333" s="220"/>
      <c r="BO333" s="220"/>
      <c r="BP333" s="220"/>
      <c r="BQ333" s="8"/>
      <c r="BS333" s="2"/>
      <c r="BT333" s="2"/>
      <c r="BU333" s="2"/>
      <c r="BV333" s="2"/>
      <c r="BW333" s="2"/>
      <c r="BX333" s="2"/>
      <c r="BY333" s="10"/>
    </row>
    <row r="334" spans="1:77" s="9" customFormat="1" ht="15.9" customHeight="1">
      <c r="A334" s="8"/>
      <c r="B334" s="22"/>
      <c r="C334" s="8" t="s">
        <v>162</v>
      </c>
      <c r="D334" s="23"/>
      <c r="E334" s="8" t="s">
        <v>85</v>
      </c>
      <c r="F334" s="188">
        <f>[1]AcreSummary!L99</f>
        <v>0.19229794260577315</v>
      </c>
      <c r="G334" s="25"/>
      <c r="H334" s="117"/>
      <c r="I334" s="57"/>
      <c r="J334" s="58">
        <f>[1]Tame!D66</f>
        <v>14.11</v>
      </c>
      <c r="K334" s="80">
        <f>[1]Tame!E66</f>
        <v>14.06</v>
      </c>
      <c r="L334" s="68">
        <f>[1]Tame!F66</f>
        <v>13.74</v>
      </c>
      <c r="M334" s="58">
        <f>[1]Tame!G66</f>
        <v>13.59</v>
      </c>
      <c r="N334" s="81">
        <f>[1]Tame!H66</f>
        <v>13.37</v>
      </c>
      <c r="O334" s="62">
        <v>13.44</v>
      </c>
      <c r="P334" s="81">
        <f>[1]Tame!I66</f>
        <v>13.18</v>
      </c>
      <c r="Q334" s="82">
        <f>[1]Tame!J66</f>
        <v>12.61</v>
      </c>
      <c r="R334" s="83">
        <v>12.61</v>
      </c>
      <c r="S334" s="84">
        <f>[1]Tame!K66</f>
        <v>11.71</v>
      </c>
      <c r="T334" s="66">
        <f>[1]Tame!L66</f>
        <v>10.45</v>
      </c>
      <c r="U334" s="67">
        <f>[1]Tame!M66</f>
        <v>9.59</v>
      </c>
      <c r="V334" s="68">
        <f>[1]Tame!N66</f>
        <v>2.35</v>
      </c>
      <c r="W334" s="68">
        <f>[1]Tame!O66</f>
        <v>2.27</v>
      </c>
      <c r="X334" s="68">
        <v>2.98</v>
      </c>
      <c r="Y334" s="68">
        <v>3.68</v>
      </c>
      <c r="Z334" s="68">
        <v>5.81</v>
      </c>
      <c r="AA334" s="68">
        <v>7.76</v>
      </c>
      <c r="AB334" s="68">
        <v>9.5</v>
      </c>
      <c r="AC334" s="68">
        <v>0</v>
      </c>
      <c r="AD334" s="68">
        <v>12.39</v>
      </c>
      <c r="AE334" s="68">
        <v>13.46</v>
      </c>
      <c r="AF334" s="68">
        <v>13.45</v>
      </c>
      <c r="AG334" s="69">
        <v>13.87</v>
      </c>
      <c r="AH334" s="70">
        <v>14.35</v>
      </c>
      <c r="AI334" s="70">
        <v>14.68</v>
      </c>
      <c r="AJ334" s="70">
        <v>15.38</v>
      </c>
      <c r="AK334" s="8">
        <f>ROUND(J334/VLOOKUP($C334,CapRate,2),0)</f>
        <v>97</v>
      </c>
      <c r="AL334" s="8">
        <f>ROUND(K334/VLOOKUP($C334,CapRate,3),0)</f>
        <v>98</v>
      </c>
      <c r="AM334" s="85">
        <f>ROUND(L334/VLOOKUP($C334,CapRate,4),0)</f>
        <v>95</v>
      </c>
      <c r="AN334" s="23">
        <f>ROUND(M334/VLOOKUP($C334,CapRate,5),0)</f>
        <v>96</v>
      </c>
      <c r="AO334" s="85">
        <f t="shared" si="61"/>
        <v>100</v>
      </c>
      <c r="AP334" s="72">
        <f t="shared" si="62"/>
        <v>100</v>
      </c>
      <c r="AQ334" s="71">
        <f t="shared" si="55"/>
        <v>95</v>
      </c>
      <c r="AR334" s="71">
        <f t="shared" si="55"/>
        <v>95</v>
      </c>
      <c r="AS334" s="71">
        <f t="shared" si="59"/>
        <v>88</v>
      </c>
      <c r="AT334" s="71">
        <f t="shared" si="60"/>
        <v>79</v>
      </c>
      <c r="AU334" s="71">
        <f t="shared" si="57"/>
        <v>72</v>
      </c>
      <c r="AV334" s="72">
        <f>IF(ROUND(V334/VLOOKUP($C334,CapRate,12),0)&gt;AV333,V334/VLOOKUP($C334,CapRate,12),AV333)</f>
        <v>40</v>
      </c>
      <c r="AW334" s="72">
        <f>IF(ROUND(W334/VLOOKUP($C334,CapRate,13),0)&gt;AW333,W334/VLOOKUP($C334,CapRate,13),AW333)</f>
        <v>49</v>
      </c>
      <c r="AX334" s="72">
        <f>IF(ROUND(X334/VLOOKUP($C334,CapRate,14),0)&gt;AX333,X334/VLOOKUP($C334,CapRate,14),AX333)</f>
        <v>55.483405483405484</v>
      </c>
      <c r="AY334" s="72">
        <f>IF(ROUND(Y334/VLOOKUP($C334,CapRate,15),0)&gt;AY333,Y334/VLOOKUP($C334,CapRate,15),AY333)</f>
        <v>62.106017191977074</v>
      </c>
      <c r="AZ334" s="72">
        <f>IF(ROUND(Z334/VLOOKUP($C334,CapRate,16),0)&gt;AZ333,Z334/VLOOKUP($C334,CapRate,16),AZ333)</f>
        <v>71.991404011461327</v>
      </c>
      <c r="BA334" s="72">
        <f>IF(ROUND(AA334/VLOOKUP($C334,CapRate,17),0)&gt;BA333,AA334/VLOOKUP($C334,CapRate,17),BA333)</f>
        <v>82.642857142857139</v>
      </c>
      <c r="BB334" s="72">
        <f>IF(ROUND(AB334/VLOOKUP($C334,CapRate,18),0)&gt;BB333,AB334/VLOOKUP($C334,CapRate,18),BB333)</f>
        <v>95.791726105563484</v>
      </c>
      <c r="BC334" s="72">
        <f>IF(ROUND(AC334/VLOOKUP($C334,CapRate,19),0)&gt;BC333,AC334/VLOOKUP($C334,CapRate,19),BC333)</f>
        <v>106.06276747503567</v>
      </c>
      <c r="BD334" s="72">
        <f>IF(ROUND(AD334/VLOOKUP($C334,CapRate,20),0)&gt;BD333,AD334/VLOOKUP($C334,CapRate,20),BD333)</f>
        <v>117.46258018531718</v>
      </c>
      <c r="BE334" s="72">
        <f>IF(ROUND(AE334/VLOOKUP($C334,CapRate,21),0)&gt;BE333,AE334/VLOOKUP($C334,CapRate,21),BE333)</f>
        <v>125.26690391459074</v>
      </c>
      <c r="BF334" s="72">
        <f>IF(ROUND(AF334/VLOOKUP($C334,CapRate,22),0)&gt;BF333,AF334/VLOOKUP($C334,CapRate,22),BF333)</f>
        <v>128.32740213523132</v>
      </c>
      <c r="BG334" s="72">
        <f>IF(ROUND(AG334/VLOOKUP($C334,CapRate,23),0)&gt;BG333,AG334/VLOOKUP($C334,CapRate,23),BG333)</f>
        <v>132.85917496443813</v>
      </c>
      <c r="BH334" s="72">
        <f>IF(ROUND(AH334/VLOOKUP($C334,CapRate,24),0)&gt;BH333,AH334/VLOOKUP($C334,CapRate,24),BH333)</f>
        <v>138.29181494661921</v>
      </c>
      <c r="BI334" s="72">
        <f>IF(ROUND(AI334/VLOOKUP($C334,CapRate,25),0)&gt;BI333,AI334/VLOOKUP($C334,CapRate,25),BI333)</f>
        <v>139.10256410256412</v>
      </c>
      <c r="BJ334" s="72">
        <f>IF(ROUND(AJ334/VLOOKUP($C334,CapRate,26),0)&gt;BJ333,AJ334/VLOOKUP($C334,CapRate,26),BJ333)</f>
        <v>142.18415417558887</v>
      </c>
      <c r="BK334" s="87">
        <f t="shared" si="58"/>
        <v>2.2153366423588006E-2</v>
      </c>
      <c r="BL334" s="76"/>
      <c r="BM334" s="77"/>
      <c r="BN334" s="77"/>
      <c r="BO334" s="77"/>
      <c r="BP334" s="77">
        <f>BK334</f>
        <v>2.2153366423588006E-2</v>
      </c>
      <c r="BQ334" s="8"/>
      <c r="BS334" s="2"/>
      <c r="BT334" s="2"/>
      <c r="BU334" s="2"/>
      <c r="BV334" s="2"/>
      <c r="BW334" s="2"/>
      <c r="BX334" s="2"/>
      <c r="BY334" s="10"/>
    </row>
    <row r="335" spans="1:77" s="9" customFormat="1" ht="15.9" customHeight="1" thickBot="1">
      <c r="A335" s="8" t="s">
        <v>155</v>
      </c>
      <c r="B335" s="22"/>
      <c r="C335" s="90" t="s">
        <v>162</v>
      </c>
      <c r="D335" s="91"/>
      <c r="E335" s="90" t="s">
        <v>40</v>
      </c>
      <c r="F335" s="190">
        <f>[1]AcreSummary!J99</f>
        <v>0.5355343320767938</v>
      </c>
      <c r="G335" s="191"/>
      <c r="H335" s="94"/>
      <c r="I335" s="95">
        <f>[1]Dry!E99</f>
        <v>23.19</v>
      </c>
      <c r="J335" s="96">
        <f>[1]Dry!F99</f>
        <v>20.58</v>
      </c>
      <c r="K335" s="97">
        <f>[1]Dry!G99</f>
        <v>21.71</v>
      </c>
      <c r="L335" s="98">
        <f>[1]Dry!H99</f>
        <v>23.15</v>
      </c>
      <c r="M335" s="96">
        <f>[1]Dry!I99</f>
        <v>25.14</v>
      </c>
      <c r="N335" s="99">
        <f>[1]Dry!J99</f>
        <v>27.07</v>
      </c>
      <c r="O335" s="100">
        <v>27.14</v>
      </c>
      <c r="P335" s="99">
        <f>[1]Dry!K99</f>
        <v>28.14</v>
      </c>
      <c r="Q335" s="101">
        <f>[1]Dry!L99</f>
        <v>29.15</v>
      </c>
      <c r="R335" s="221">
        <f>Q335*0.95</f>
        <v>27.692499999999999</v>
      </c>
      <c r="S335" s="103">
        <f>[1]Dry!N99</f>
        <v>29.5</v>
      </c>
      <c r="T335" s="104">
        <f>[1]Dry!O99</f>
        <v>29.89</v>
      </c>
      <c r="U335" s="105">
        <f>[1]Dry!P99</f>
        <v>29.26</v>
      </c>
      <c r="V335" s="98">
        <f>[1]Dry!Q99</f>
        <v>27.6</v>
      </c>
      <c r="W335" s="98">
        <f>[1]Dry!R99</f>
        <v>30.6</v>
      </c>
      <c r="X335" s="98">
        <f>[1]Dry!S99</f>
        <v>33.200000000000003</v>
      </c>
      <c r="Y335" s="98">
        <f>[1]Dry!T99</f>
        <v>39.49</v>
      </c>
      <c r="Z335" s="98">
        <v>43.11</v>
      </c>
      <c r="AA335" s="98">
        <v>47.93</v>
      </c>
      <c r="AB335" s="98">
        <v>52.3</v>
      </c>
      <c r="AC335" s="98">
        <v>54.94</v>
      </c>
      <c r="AD335" s="98">
        <v>55.39</v>
      </c>
      <c r="AE335" s="98">
        <v>54.84</v>
      </c>
      <c r="AF335" s="98">
        <v>55.52</v>
      </c>
      <c r="AG335" s="106">
        <v>56.39</v>
      </c>
      <c r="AH335" s="107">
        <v>54.95</v>
      </c>
      <c r="AI335" s="107">
        <v>50.53</v>
      </c>
      <c r="AJ335" s="107">
        <v>47.27</v>
      </c>
      <c r="AK335" s="90">
        <f>ROUND(J335/VLOOKUP($C335,CapRate,2),0)</f>
        <v>142</v>
      </c>
      <c r="AL335" s="90">
        <f t="shared" si="64"/>
        <v>151</v>
      </c>
      <c r="AM335" s="108">
        <f t="shared" si="65"/>
        <v>160</v>
      </c>
      <c r="AN335" s="91">
        <f t="shared" si="66"/>
        <v>178</v>
      </c>
      <c r="AO335" s="108">
        <f t="shared" si="61"/>
        <v>202</v>
      </c>
      <c r="AP335" s="109">
        <f t="shared" si="62"/>
        <v>213</v>
      </c>
      <c r="AQ335" s="110">
        <f t="shared" si="55"/>
        <v>220</v>
      </c>
      <c r="AR335" s="222">
        <f t="shared" si="55"/>
        <v>209</v>
      </c>
      <c r="AS335" s="110">
        <f t="shared" si="59"/>
        <v>222</v>
      </c>
      <c r="AT335" s="110">
        <f t="shared" si="60"/>
        <v>225</v>
      </c>
      <c r="AU335" s="110">
        <f t="shared" si="57"/>
        <v>220</v>
      </c>
      <c r="AV335" s="109">
        <f t="shared" si="56"/>
        <v>201</v>
      </c>
      <c r="AW335" s="109">
        <f>ROUND(W335/VLOOKUP($C335,CapRate,13),0)</f>
        <v>221</v>
      </c>
      <c r="AX335" s="72">
        <f>ROUND(X335/VLOOKUP($C335,CapRate,14),0)</f>
        <v>240</v>
      </c>
      <c r="AY335" s="72">
        <f>ROUND(Y335/VLOOKUP($C335,CapRate,15),0)</f>
        <v>283</v>
      </c>
      <c r="AZ335" s="72">
        <f>ROUND(Z335/VLOOKUP($C335,CapRate,16),0)</f>
        <v>309</v>
      </c>
      <c r="BA335" s="72">
        <f>ROUND(AA335/VLOOKUP($C335,CapRate,17),0)</f>
        <v>342</v>
      </c>
      <c r="BB335" s="72">
        <f>ROUND(AB335/VLOOKUP($C335,CapRate,18),0)</f>
        <v>373</v>
      </c>
      <c r="BC335" s="72">
        <f>ROUND(AC335/VLOOKUP($C335,CapRate,19),0)</f>
        <v>392</v>
      </c>
      <c r="BD335" s="72">
        <f>ROUND(AD335/VLOOKUP($C335,CapRate,20),0)</f>
        <v>395</v>
      </c>
      <c r="BE335" s="72">
        <f>ROUND(AE335/VLOOKUP($C335,CapRate,21),0)</f>
        <v>390</v>
      </c>
      <c r="BF335" s="72">
        <f>ROUND(AF335/VLOOKUP($C335,CapRate,22),0)</f>
        <v>395</v>
      </c>
      <c r="BG335" s="72">
        <f>ROUND(AG335/VLOOKUP($C335,CapRate,23),0)</f>
        <v>401</v>
      </c>
      <c r="BH335" s="72">
        <f>ROUND(AH335/VLOOKUP($C335,CapRate,24),0)</f>
        <v>391</v>
      </c>
      <c r="BI335" s="72">
        <f>ROUND(AI335/VLOOKUP($C335,CapRate,25),0)</f>
        <v>360</v>
      </c>
      <c r="BJ335" s="72">
        <f>ROUND(AJ335/VLOOKUP($C335,CapRate,26),0)</f>
        <v>337</v>
      </c>
      <c r="BK335" s="87">
        <f t="shared" si="58"/>
        <v>-6.3888888888888884E-2</v>
      </c>
      <c r="BL335" s="114">
        <f>((F333*BK333)+(F334*BK334)+(F335*BK335))</f>
        <v>-2.4039736482672817E-2</v>
      </c>
      <c r="BM335" s="226"/>
      <c r="BN335" s="227">
        <f>BK335</f>
        <v>-6.3888888888888884E-2</v>
      </c>
      <c r="BO335" s="227"/>
      <c r="BP335" s="227"/>
      <c r="BQ335" s="8"/>
      <c r="BS335" s="2"/>
      <c r="BT335" s="2"/>
      <c r="BU335" s="2"/>
      <c r="BV335" s="2"/>
      <c r="BW335" s="2"/>
      <c r="BX335" s="2"/>
      <c r="BY335" s="10"/>
    </row>
    <row r="336" spans="1:77" ht="15.9" customHeight="1" thickTop="1">
      <c r="A336" s="8" t="s">
        <v>155</v>
      </c>
      <c r="B336" s="22"/>
      <c r="C336" s="8" t="s">
        <v>163</v>
      </c>
      <c r="D336" s="23" t="s">
        <v>163</v>
      </c>
      <c r="E336" s="8" t="s">
        <v>39</v>
      </c>
      <c r="F336" s="188">
        <f>[1]AcreSummary!M100</f>
        <v>0.67809933635447717</v>
      </c>
      <c r="G336" s="25"/>
      <c r="H336" s="117"/>
      <c r="I336" s="57">
        <f>[1]Native!E98</f>
        <v>7.39</v>
      </c>
      <c r="J336" s="58">
        <f>[1]Native!F98</f>
        <v>7.31</v>
      </c>
      <c r="K336" s="80">
        <f>[1]Native!G98</f>
        <v>7.5</v>
      </c>
      <c r="L336" s="68">
        <f>[1]Native!H98</f>
        <v>7.56</v>
      </c>
      <c r="M336" s="58">
        <f>[1]Native!I98</f>
        <v>7.77</v>
      </c>
      <c r="N336" s="81">
        <f>[1]Native!J98</f>
        <v>7.96</v>
      </c>
      <c r="O336" s="62">
        <v>7.77</v>
      </c>
      <c r="P336" s="81">
        <f>[1]Native!K98</f>
        <v>8.2799999999999994</v>
      </c>
      <c r="Q336" s="82">
        <f>[1]Native!L98</f>
        <v>7.65</v>
      </c>
      <c r="R336" s="83">
        <v>7.65</v>
      </c>
      <c r="S336" s="84">
        <f>[1]Native!M98</f>
        <v>7.05</v>
      </c>
      <c r="T336" s="66">
        <f>[1]Native!N98</f>
        <v>6.35</v>
      </c>
      <c r="U336" s="67">
        <f>[1]Native!O98</f>
        <v>5.41</v>
      </c>
      <c r="V336" s="68">
        <f>[1]Native!P98</f>
        <v>2.2000000000000002</v>
      </c>
      <c r="W336" s="68">
        <f>[1]Native!Q98</f>
        <v>2.37</v>
      </c>
      <c r="X336" s="68">
        <v>3.11</v>
      </c>
      <c r="Y336" s="68">
        <v>3.93</v>
      </c>
      <c r="Z336" s="68">
        <v>5.13</v>
      </c>
      <c r="AA336" s="68">
        <v>6.73</v>
      </c>
      <c r="AB336" s="68">
        <v>7.92</v>
      </c>
      <c r="AC336" s="68">
        <v>9.2200000000000006</v>
      </c>
      <c r="AD336" s="68">
        <v>10.61</v>
      </c>
      <c r="AE336" s="68">
        <v>11.8</v>
      </c>
      <c r="AF336" s="68">
        <v>12.23</v>
      </c>
      <c r="AG336" s="69">
        <v>12.73</v>
      </c>
      <c r="AH336" s="70">
        <v>13.26</v>
      </c>
      <c r="AI336" s="70">
        <v>13.18</v>
      </c>
      <c r="AJ336" s="70">
        <v>13.38</v>
      </c>
      <c r="AK336" s="8">
        <f t="shared" si="63"/>
        <v>47</v>
      </c>
      <c r="AL336" s="8">
        <f t="shared" si="64"/>
        <v>48</v>
      </c>
      <c r="AM336" s="85">
        <f t="shared" si="65"/>
        <v>48</v>
      </c>
      <c r="AN336" s="23">
        <f t="shared" si="66"/>
        <v>51</v>
      </c>
      <c r="AO336" s="85">
        <f t="shared" si="61"/>
        <v>53</v>
      </c>
      <c r="AP336" s="72">
        <f t="shared" si="62"/>
        <v>57</v>
      </c>
      <c r="AQ336" s="71">
        <f t="shared" si="55"/>
        <v>53</v>
      </c>
      <c r="AR336" s="71">
        <f t="shared" si="55"/>
        <v>53</v>
      </c>
      <c r="AS336" s="71">
        <f t="shared" si="59"/>
        <v>49</v>
      </c>
      <c r="AT336" s="71">
        <f t="shared" si="60"/>
        <v>44</v>
      </c>
      <c r="AU336" s="71">
        <f t="shared" si="57"/>
        <v>37</v>
      </c>
      <c r="AV336" s="72">
        <f t="shared" si="56"/>
        <v>15</v>
      </c>
      <c r="AW336" s="72">
        <f>ROUND(W336/VLOOKUP($C336,CapRate,13),0)</f>
        <v>16</v>
      </c>
      <c r="AX336" s="122">
        <f>IF(ROUND(X336/VLOOKUP($C336,CapRate,14),0)&gt;10,X336/VLOOKUP($C336,CapRate,14),10)</f>
        <v>20.719520319786806</v>
      </c>
      <c r="AY336" s="122">
        <f>IF(ROUND(Y336/VLOOKUP($C336,CapRate,15),0)&gt;10,Y336/VLOOKUP($C336,CapRate,15),10)</f>
        <v>25.957727873183618</v>
      </c>
      <c r="AZ336" s="122">
        <f>IF(ROUND(Z336/VLOOKUP($C336,CapRate,16),0)&gt;10,Z336/VLOOKUP($C336,CapRate,16),10)</f>
        <v>33.816743572841133</v>
      </c>
      <c r="BA336" s="122">
        <f>IF(ROUND(AA336/VLOOKUP($C336,CapRate,17),0)&gt;10,AA336/VLOOKUP($C336,CapRate,17),10)</f>
        <v>44.131147540983612</v>
      </c>
      <c r="BB336" s="122">
        <f>IF(ROUND(AB336/VLOOKUP($C336,CapRate,18),0)&gt;10,AB336/VLOOKUP($C336,CapRate,18),10)</f>
        <v>51.798561151079134</v>
      </c>
      <c r="BC336" s="122">
        <f>IF(ROUND(AC336/VLOOKUP($C336,CapRate,19),0)&gt;10,AC336/VLOOKUP($C336,CapRate,19),10)</f>
        <v>60.222077073807966</v>
      </c>
      <c r="BD336" s="122">
        <f>IF(ROUND(AD336/VLOOKUP($C336,CapRate,20),0)&gt;10,AD336/VLOOKUP($C336,CapRate,20),10)</f>
        <v>69.210697977821269</v>
      </c>
      <c r="BE336" s="122">
        <f>IF(ROUND(AE336/VLOOKUP($C336,CapRate,21),0)&gt;10,AE336/VLOOKUP($C336,CapRate,21),10)</f>
        <v>76.973255055446842</v>
      </c>
      <c r="BF336" s="122">
        <f>IF(ROUND(AF336/VLOOKUP($C336,CapRate,22),0)&gt;10,AF336/VLOOKUP($C336,CapRate,22),10)</f>
        <v>79.726205997392441</v>
      </c>
      <c r="BG336" s="122">
        <f>IF(ROUND(AG336/VLOOKUP($C336,CapRate,23),0)&gt;10,AG336/VLOOKUP($C336,CapRate,23),10)</f>
        <v>82.769830949284795</v>
      </c>
      <c r="BH336" s="122">
        <f>IF(ROUND(AH336/VLOOKUP($C336,CapRate,24),0)&gt;10,AH336/VLOOKUP($C336,CapRate,24),10)</f>
        <v>86.215864759427831</v>
      </c>
      <c r="BI336" s="122">
        <f>IF(ROUND(AI336/VLOOKUP($C336,CapRate,25),0)&gt;10,AI336/VLOOKUP($C336,CapRate,25),10)</f>
        <v>85.640025990903183</v>
      </c>
      <c r="BJ336" s="122">
        <f>IF(ROUND(AJ336/VLOOKUP($C336,CapRate,26),0)&gt;10,AJ336/VLOOKUP($C336,CapRate,26),10)</f>
        <v>86.996098829648901</v>
      </c>
      <c r="BK336" s="75">
        <f t="shared" si="58"/>
        <v>1.5834568276400951E-2</v>
      </c>
      <c r="BL336" s="76"/>
      <c r="BM336" s="219">
        <f>BK336</f>
        <v>1.5834568276400951E-2</v>
      </c>
      <c r="BN336" s="220"/>
      <c r="BO336" s="220"/>
      <c r="BP336" s="220"/>
    </row>
    <row r="337" spans="1:70" ht="15.9" customHeight="1">
      <c r="A337" s="8"/>
      <c r="B337" s="22"/>
      <c r="C337" s="8" t="s">
        <v>163</v>
      </c>
      <c r="D337" s="23"/>
      <c r="E337" s="8" t="s">
        <v>85</v>
      </c>
      <c r="F337" s="188">
        <f>[1]AcreSummary!L100</f>
        <v>6.3313367030867929E-2</v>
      </c>
      <c r="G337" s="25"/>
      <c r="H337" s="117"/>
      <c r="I337" s="57"/>
      <c r="J337" s="58">
        <f>[1]Tame!D67</f>
        <v>11.32</v>
      </c>
      <c r="K337" s="80">
        <f>[1]Tame!E67</f>
        <v>11.03</v>
      </c>
      <c r="L337" s="68">
        <f>[1]Tame!F67</f>
        <v>10.52</v>
      </c>
      <c r="M337" s="58">
        <f>[1]Tame!G67</f>
        <v>10.15</v>
      </c>
      <c r="N337" s="81">
        <f>[1]Tame!H67</f>
        <v>9.67</v>
      </c>
      <c r="O337" s="62">
        <v>9.8800000000000008</v>
      </c>
      <c r="P337" s="81">
        <f>[1]Tame!I67</f>
        <v>9.3000000000000007</v>
      </c>
      <c r="Q337" s="82">
        <f>[1]Tame!J67</f>
        <v>8.5</v>
      </c>
      <c r="R337" s="83">
        <v>8.5</v>
      </c>
      <c r="S337" s="84">
        <f>[1]Tame!K67</f>
        <v>7.45</v>
      </c>
      <c r="T337" s="66">
        <f>[1]Tame!L67</f>
        <v>5.83</v>
      </c>
      <c r="U337" s="67">
        <f>[1]Tame!M67</f>
        <v>4.95</v>
      </c>
      <c r="V337" s="68">
        <f>[1]Tame!N67</f>
        <v>-2.5499999999999998</v>
      </c>
      <c r="W337" s="68">
        <f>[1]Tame!O67</f>
        <v>-2.68</v>
      </c>
      <c r="X337" s="68">
        <v>-2.09</v>
      </c>
      <c r="Y337" s="68">
        <v>-1.42</v>
      </c>
      <c r="Z337" s="68">
        <v>0.69</v>
      </c>
      <c r="AA337" s="68">
        <v>2.79</v>
      </c>
      <c r="AB337" s="68">
        <v>4.59</v>
      </c>
      <c r="AC337" s="68">
        <v>0</v>
      </c>
      <c r="AD337" s="68">
        <v>7.44</v>
      </c>
      <c r="AE337" s="68">
        <v>8.41</v>
      </c>
      <c r="AF337" s="68">
        <v>8.67</v>
      </c>
      <c r="AG337" s="69">
        <v>9.01</v>
      </c>
      <c r="AH337" s="70">
        <v>9.33</v>
      </c>
      <c r="AI337" s="70">
        <v>9.4700000000000006</v>
      </c>
      <c r="AJ337" s="70">
        <v>9.94</v>
      </c>
      <c r="AK337" s="8">
        <f>ROUND(J337/VLOOKUP($C337,CapRate,2),0)</f>
        <v>73</v>
      </c>
      <c r="AL337" s="8">
        <f>ROUND(K337/VLOOKUP($C337,CapRate,3),0)</f>
        <v>71</v>
      </c>
      <c r="AM337" s="85">
        <f>ROUND(L337/VLOOKUP($C337,CapRate,4),0)</f>
        <v>67</v>
      </c>
      <c r="AN337" s="23">
        <f>ROUND(M337/VLOOKUP($C337,CapRate,5),0)</f>
        <v>67</v>
      </c>
      <c r="AO337" s="85">
        <f t="shared" si="61"/>
        <v>67</v>
      </c>
      <c r="AP337" s="72">
        <f t="shared" si="62"/>
        <v>64</v>
      </c>
      <c r="AQ337" s="71">
        <f t="shared" si="55"/>
        <v>59</v>
      </c>
      <c r="AR337" s="71">
        <f t="shared" si="55"/>
        <v>59</v>
      </c>
      <c r="AS337" s="71">
        <f t="shared" si="59"/>
        <v>51</v>
      </c>
      <c r="AT337" s="71">
        <f t="shared" si="60"/>
        <v>40</v>
      </c>
      <c r="AU337" s="71">
        <f t="shared" si="57"/>
        <v>34</v>
      </c>
      <c r="AV337" s="72">
        <f>IF(ROUND(V337/VLOOKUP($C337,CapRate,12),0)&gt;AV336,V337/VLOOKUP($C337,CapRate,12),AV336)</f>
        <v>15</v>
      </c>
      <c r="AW337" s="72">
        <f>IF(ROUND(W337/VLOOKUP($C337,CapRate,13),0)&gt;AW336,W337/VLOOKUP($C337,CapRate,13),AW336)</f>
        <v>16</v>
      </c>
      <c r="AX337" s="72">
        <f>IF(ROUND(X337/VLOOKUP($C337,CapRate,14),0)&gt;AX336,X337/VLOOKUP($C337,CapRate,14),AX336)</f>
        <v>20.719520319786806</v>
      </c>
      <c r="AY337" s="72">
        <f>IF(ROUND(Y337/VLOOKUP($C337,CapRate,15),0)&gt;AY336,Y337/VLOOKUP($C337,CapRate,15),AY336)</f>
        <v>25.957727873183618</v>
      </c>
      <c r="AZ337" s="72">
        <f>IF(ROUND(Z337/VLOOKUP($C337,CapRate,16),0)&gt;AZ336,Z337/VLOOKUP($C337,CapRate,16),AZ336)</f>
        <v>33.816743572841133</v>
      </c>
      <c r="BA337" s="72">
        <f>IF(ROUND(AA337/VLOOKUP($C337,CapRate,17),0)&gt;BA336,AA337/VLOOKUP($C337,CapRate,17),BA336)</f>
        <v>44.131147540983612</v>
      </c>
      <c r="BB337" s="72">
        <f>IF(ROUND(AB337/VLOOKUP($C337,CapRate,18),0)&gt;BB336,AB337/VLOOKUP($C337,CapRate,18),BB336)</f>
        <v>51.798561151079134</v>
      </c>
      <c r="BC337" s="72">
        <f>IF(ROUND(AC337/VLOOKUP($C337,CapRate,19),0)&gt;BC336,AC337/VLOOKUP($C337,CapRate,19),BC336)</f>
        <v>60.222077073807966</v>
      </c>
      <c r="BD337" s="72">
        <f>IF(ROUND(AD337/VLOOKUP($C337,CapRate,20),0)&gt;BD336,AD337/VLOOKUP($C337,CapRate,20),BD336)</f>
        <v>69.210697977821269</v>
      </c>
      <c r="BE337" s="72">
        <f>IF(ROUND(AE337/VLOOKUP($C337,CapRate,21),0)&gt;BE336,AE337/VLOOKUP($C337,CapRate,21),BE336)</f>
        <v>76.973255055446842</v>
      </c>
      <c r="BF337" s="72">
        <f>IF(ROUND(AF337/VLOOKUP($C337,CapRate,22),0)&gt;BF336,AF337/VLOOKUP($C337,CapRate,22),BF336)</f>
        <v>79.726205997392441</v>
      </c>
      <c r="BG337" s="72">
        <f>IF(ROUND(AG337/VLOOKUP($C337,CapRate,23),0)&gt;BG336,AG337/VLOOKUP($C337,CapRate,23),BG336)</f>
        <v>82.769830949284795</v>
      </c>
      <c r="BH337" s="72">
        <f>IF(ROUND(AH337/VLOOKUP($C337,CapRate,24),0)&gt;BH336,AH337/VLOOKUP($C337,CapRate,24),BH336)</f>
        <v>86.215864759427831</v>
      </c>
      <c r="BI337" s="72">
        <f>IF(ROUND(AI337/VLOOKUP($C337,CapRate,25),0)&gt;BI336,AI337/VLOOKUP($C337,CapRate,25),BI336)</f>
        <v>85.640025990903183</v>
      </c>
      <c r="BJ337" s="72">
        <f>IF(ROUND(AJ337/VLOOKUP($C337,CapRate,26),0)&gt;BJ336,AJ337/VLOOKUP($C337,CapRate,26),BJ336)</f>
        <v>86.996098829648901</v>
      </c>
      <c r="BK337" s="87">
        <f t="shared" si="58"/>
        <v>1.5834568276400951E-2</v>
      </c>
      <c r="BL337" s="76"/>
      <c r="BM337" s="77"/>
      <c r="BN337" s="77"/>
      <c r="BO337" s="77"/>
      <c r="BP337" s="77">
        <f>BK337</f>
        <v>1.5834568276400951E-2</v>
      </c>
    </row>
    <row r="338" spans="1:70" ht="15.9" customHeight="1">
      <c r="A338" s="8" t="s">
        <v>155</v>
      </c>
      <c r="B338" s="22"/>
      <c r="C338" s="8" t="s">
        <v>163</v>
      </c>
      <c r="D338" s="23"/>
      <c r="E338" s="8" t="s">
        <v>40</v>
      </c>
      <c r="F338" s="188">
        <f>[1]AcreSummary!J100</f>
        <v>0.25268151182475596</v>
      </c>
      <c r="G338" s="25"/>
      <c r="H338" s="117"/>
      <c r="I338" s="57">
        <f>[1]Dry!E100</f>
        <v>19.329999999999998</v>
      </c>
      <c r="J338" s="58">
        <f>[1]Dry!F100</f>
        <v>17.07</v>
      </c>
      <c r="K338" s="80">
        <f>[1]Dry!G100</f>
        <v>16.809999999999999</v>
      </c>
      <c r="L338" s="68">
        <f>[1]Dry!H100</f>
        <v>16.989999999999998</v>
      </c>
      <c r="M338" s="58">
        <f>[1]Dry!I100</f>
        <v>17.59</v>
      </c>
      <c r="N338" s="81">
        <f>[1]Dry!J100</f>
        <v>18.3</v>
      </c>
      <c r="O338" s="62">
        <v>18.11</v>
      </c>
      <c r="P338" s="81">
        <f>[1]Dry!K100</f>
        <v>19.46</v>
      </c>
      <c r="Q338" s="82">
        <f>[1]Dry!L100</f>
        <v>20.99</v>
      </c>
      <c r="R338" s="83">
        <f>Q338*0.95</f>
        <v>19.940499999999997</v>
      </c>
      <c r="S338" s="84">
        <f>[1]Dry!N100</f>
        <v>19.84</v>
      </c>
      <c r="T338" s="66">
        <f>[1]Dry!O100</f>
        <v>21.41</v>
      </c>
      <c r="U338" s="67">
        <f>[1]Dry!P100</f>
        <v>22.12</v>
      </c>
      <c r="V338" s="68">
        <f>[1]Dry!Q100</f>
        <v>26.06</v>
      </c>
      <c r="W338" s="68">
        <f>[1]Dry!R100</f>
        <v>26.76</v>
      </c>
      <c r="X338" s="68">
        <f>[1]Dry!S100</f>
        <v>26.9</v>
      </c>
      <c r="Y338" s="68">
        <f>[1]Dry!T100</f>
        <v>27.41</v>
      </c>
      <c r="Z338" s="68">
        <v>29.47</v>
      </c>
      <c r="AA338" s="68">
        <v>32.520000000000003</v>
      </c>
      <c r="AB338" s="68">
        <v>35.83</v>
      </c>
      <c r="AC338" s="68">
        <v>38.65</v>
      </c>
      <c r="AD338" s="68">
        <v>39.4</v>
      </c>
      <c r="AE338" s="68">
        <v>39.979999999999997</v>
      </c>
      <c r="AF338" s="68">
        <v>41.98</v>
      </c>
      <c r="AG338" s="69">
        <v>44</v>
      </c>
      <c r="AH338" s="70">
        <v>43.2</v>
      </c>
      <c r="AI338" s="70">
        <v>39.15</v>
      </c>
      <c r="AJ338" s="70">
        <v>36.08</v>
      </c>
      <c r="AK338" s="8">
        <f t="shared" si="63"/>
        <v>110</v>
      </c>
      <c r="AL338" s="8">
        <f t="shared" si="64"/>
        <v>109</v>
      </c>
      <c r="AM338" s="85">
        <f t="shared" si="65"/>
        <v>109</v>
      </c>
      <c r="AN338" s="23">
        <f t="shared" si="66"/>
        <v>115</v>
      </c>
      <c r="AO338" s="85">
        <f t="shared" si="61"/>
        <v>124</v>
      </c>
      <c r="AP338" s="72">
        <f t="shared" si="62"/>
        <v>134</v>
      </c>
      <c r="AQ338" s="71">
        <f t="shared" si="55"/>
        <v>145</v>
      </c>
      <c r="AR338" s="71">
        <f t="shared" si="55"/>
        <v>137</v>
      </c>
      <c r="AS338" s="71">
        <f t="shared" si="59"/>
        <v>137</v>
      </c>
      <c r="AT338" s="71">
        <f t="shared" si="60"/>
        <v>148</v>
      </c>
      <c r="AU338" s="71">
        <f t="shared" si="57"/>
        <v>153</v>
      </c>
      <c r="AV338" s="72">
        <f t="shared" si="56"/>
        <v>175</v>
      </c>
      <c r="AW338" s="72">
        <f>ROUND(W338/VLOOKUP($C338,CapRate,13),0)</f>
        <v>179</v>
      </c>
      <c r="AX338" s="72">
        <f>ROUND(X338/VLOOKUP($C338,CapRate,14),0)</f>
        <v>179</v>
      </c>
      <c r="AY338" s="72">
        <f>ROUND(Y338/VLOOKUP($C338,CapRate,15),0)</f>
        <v>181</v>
      </c>
      <c r="AZ338" s="72">
        <f>ROUND(Z338/VLOOKUP($C338,CapRate,16),0)</f>
        <v>194</v>
      </c>
      <c r="BA338" s="72">
        <f>ROUND(AA338/VLOOKUP($C338,CapRate,17),0)</f>
        <v>213</v>
      </c>
      <c r="BB338" s="72">
        <f>ROUND(AB338/VLOOKUP($C338,CapRate,18),0)</f>
        <v>234</v>
      </c>
      <c r="BC338" s="72">
        <f>ROUND(AC338/VLOOKUP($C338,CapRate,19),0)</f>
        <v>252</v>
      </c>
      <c r="BD338" s="72">
        <f>ROUND(AD338/VLOOKUP($C338,CapRate,20),0)</f>
        <v>257</v>
      </c>
      <c r="BE338" s="72">
        <f>ROUND(AE338/VLOOKUP($C338,CapRate,21),0)</f>
        <v>261</v>
      </c>
      <c r="BF338" s="72">
        <f>ROUND(AF338/VLOOKUP($C338,CapRate,22),0)</f>
        <v>274</v>
      </c>
      <c r="BG338" s="72">
        <f>ROUND(AG338/VLOOKUP($C338,CapRate,23),0)</f>
        <v>286</v>
      </c>
      <c r="BH338" s="72">
        <f>ROUND(AH338/VLOOKUP($C338,CapRate,24),0)</f>
        <v>281</v>
      </c>
      <c r="BI338" s="72">
        <f>ROUND(AI338/VLOOKUP($C338,CapRate,25),0)</f>
        <v>254</v>
      </c>
      <c r="BJ338" s="72">
        <f>ROUND(AJ338/VLOOKUP($C338,CapRate,26),0)</f>
        <v>235</v>
      </c>
      <c r="BK338" s="87">
        <f t="shared" si="58"/>
        <v>-7.4803149606299191E-2</v>
      </c>
      <c r="BL338" s="76"/>
      <c r="BM338" s="218"/>
      <c r="BN338" s="77">
        <f>BK338</f>
        <v>-7.4803149606299191E-2</v>
      </c>
      <c r="BO338" s="77"/>
      <c r="BP338" s="77"/>
    </row>
    <row r="339" spans="1:70" ht="15.9" customHeight="1" thickBot="1">
      <c r="A339" s="8" t="s">
        <v>155</v>
      </c>
      <c r="B339" s="22"/>
      <c r="C339" s="90" t="s">
        <v>163</v>
      </c>
      <c r="D339" s="91"/>
      <c r="E339" s="90" t="s">
        <v>41</v>
      </c>
      <c r="F339" s="190">
        <f>[1]AcreSummary!K100</f>
        <v>5.9057847898989473E-3</v>
      </c>
      <c r="G339" s="191">
        <f>[1]Irrigated!D83</f>
        <v>100</v>
      </c>
      <c r="H339" s="94">
        <f>[1]Irrigated!E83</f>
        <v>1</v>
      </c>
      <c r="I339" s="95">
        <f>[1]Irrigated!G83</f>
        <v>0</v>
      </c>
      <c r="J339" s="96">
        <f>[1]Irrigated!H83</f>
        <v>43.21</v>
      </c>
      <c r="K339" s="97">
        <f>[1]Irrigated!I83</f>
        <v>45.76</v>
      </c>
      <c r="L339" s="98">
        <f>[1]Irrigated!J83</f>
        <v>48.29</v>
      </c>
      <c r="M339" s="96">
        <f>[1]Irrigated!K83</f>
        <v>51.4</v>
      </c>
      <c r="N339" s="99">
        <f>[1]Irrigated!L83</f>
        <v>54.35</v>
      </c>
      <c r="O339" s="100">
        <v>48.29</v>
      </c>
      <c r="P339" s="99">
        <f>[1]Irrigated!M83</f>
        <v>56.2</v>
      </c>
      <c r="Q339" s="101">
        <f>[1]Irrigated!N83</f>
        <v>55.73</v>
      </c>
      <c r="R339" s="102">
        <v>55.73</v>
      </c>
      <c r="S339" s="103">
        <f>[1]Irrigated!O83</f>
        <v>55.51</v>
      </c>
      <c r="T339" s="104">
        <f>[1]Irrigated!P83</f>
        <v>55.34</v>
      </c>
      <c r="U339" s="105">
        <f>[1]Irrigated!Q83</f>
        <v>52.43</v>
      </c>
      <c r="V339" s="98">
        <f>[1]Irrigated!R83</f>
        <v>37.979999999999997</v>
      </c>
      <c r="W339" s="98">
        <f>[1]Irrigated!S83</f>
        <v>39.869999999999997</v>
      </c>
      <c r="X339" s="98">
        <v>42.29</v>
      </c>
      <c r="Y339" s="98">
        <v>47.42</v>
      </c>
      <c r="Z339" s="98">
        <v>54.8</v>
      </c>
      <c r="AA339" s="98">
        <v>60.34</v>
      </c>
      <c r="AB339" s="98">
        <v>71.14</v>
      </c>
      <c r="AC339" s="98">
        <v>80.87</v>
      </c>
      <c r="AD339" s="98">
        <v>85.25</v>
      </c>
      <c r="AE339" s="98">
        <v>87.66</v>
      </c>
      <c r="AF339" s="98">
        <v>89.57</v>
      </c>
      <c r="AG339" s="106">
        <v>89.79</v>
      </c>
      <c r="AH339" s="107">
        <v>83.24</v>
      </c>
      <c r="AI339" s="107">
        <v>73.2</v>
      </c>
      <c r="AJ339" s="107">
        <v>62.64</v>
      </c>
      <c r="AK339" s="90">
        <f t="shared" si="63"/>
        <v>279</v>
      </c>
      <c r="AL339" s="90">
        <f t="shared" si="64"/>
        <v>296</v>
      </c>
      <c r="AM339" s="108">
        <f t="shared" si="65"/>
        <v>310</v>
      </c>
      <c r="AN339" s="91">
        <f t="shared" si="66"/>
        <v>337</v>
      </c>
      <c r="AO339" s="108">
        <f t="shared" si="61"/>
        <v>330</v>
      </c>
      <c r="AP339" s="109">
        <f t="shared" si="62"/>
        <v>388</v>
      </c>
      <c r="AQ339" s="110">
        <f t="shared" si="55"/>
        <v>384</v>
      </c>
      <c r="AR339" s="110">
        <f t="shared" si="55"/>
        <v>384</v>
      </c>
      <c r="AS339" s="110">
        <f t="shared" si="59"/>
        <v>383</v>
      </c>
      <c r="AT339" s="110">
        <f t="shared" si="60"/>
        <v>382</v>
      </c>
      <c r="AU339" s="110">
        <f t="shared" si="57"/>
        <v>362</v>
      </c>
      <c r="AV339" s="109">
        <f t="shared" si="56"/>
        <v>256</v>
      </c>
      <c r="AW339" s="109">
        <f>ROUND(W339/VLOOKUP($C339,CapRate,13),0)</f>
        <v>266</v>
      </c>
      <c r="AX339" s="109">
        <f>ROUND(X339/VLOOKUP($C339,CapRate,14),0)</f>
        <v>282</v>
      </c>
      <c r="AY339" s="109">
        <f>ROUND(Y339/VLOOKUP($C339,CapRate,15),0)</f>
        <v>313</v>
      </c>
      <c r="AZ339" s="109">
        <f>ROUND(Z339/VLOOKUP($C339,CapRate,16),0)</f>
        <v>361</v>
      </c>
      <c r="BA339" s="109">
        <f>ROUND(AA339/VLOOKUP($C339,CapRate,17),0)</f>
        <v>396</v>
      </c>
      <c r="BB339" s="109">
        <f>ROUND(AB339/VLOOKUP($C339,CapRate,18),0)</f>
        <v>465</v>
      </c>
      <c r="BC339" s="109">
        <f>ROUND(AC339/VLOOKUP($C339,CapRate,19),0)</f>
        <v>528</v>
      </c>
      <c r="BD339" s="109">
        <f>ROUND(AD339/VLOOKUP($C339,CapRate,20),0)</f>
        <v>556</v>
      </c>
      <c r="BE339" s="109">
        <f>ROUND(AE339/VLOOKUP($C339,CapRate,21),0)</f>
        <v>572</v>
      </c>
      <c r="BF339" s="109">
        <f>ROUND(AF339/VLOOKUP($C339,CapRate,22),0)</f>
        <v>584</v>
      </c>
      <c r="BG339" s="109">
        <f>ROUND(AG339/VLOOKUP($C339,CapRate,23),0)</f>
        <v>584</v>
      </c>
      <c r="BH339" s="109">
        <f>ROUND(AH339/VLOOKUP($C339,CapRate,24),0)</f>
        <v>541</v>
      </c>
      <c r="BI339" s="109">
        <f>ROUND(AI339/VLOOKUP($C339,CapRate,25),0)</f>
        <v>476</v>
      </c>
      <c r="BJ339" s="109">
        <f>ROUND(AJ339/VLOOKUP($C339,CapRate,26),0)</f>
        <v>407</v>
      </c>
      <c r="BK339" s="193">
        <f t="shared" si="58"/>
        <v>-0.14495798319327735</v>
      </c>
      <c r="BL339" s="114">
        <f>((F336*BK336)+(F337*BK337)+(F338*BK338)+(F339*BK339))</f>
        <v>-8.0175135113441081E-3</v>
      </c>
      <c r="BM339" s="226"/>
      <c r="BN339" s="227"/>
      <c r="BO339" s="227">
        <f>BK339</f>
        <v>-0.14495798319327735</v>
      </c>
      <c r="BP339" s="227"/>
      <c r="BQ339" s="90"/>
      <c r="BR339" s="192"/>
    </row>
    <row r="340" spans="1:70" ht="15.9" customHeight="1" thickTop="1">
      <c r="A340" s="8" t="s">
        <v>155</v>
      </c>
      <c r="B340" s="22"/>
      <c r="C340" s="8" t="s">
        <v>164</v>
      </c>
      <c r="D340" s="23" t="s">
        <v>164</v>
      </c>
      <c r="E340" s="8" t="s">
        <v>39</v>
      </c>
      <c r="F340" s="188">
        <f>[1]AcreSummary!M101</f>
        <v>0.24708361144246299</v>
      </c>
      <c r="G340" s="25"/>
      <c r="H340" s="117"/>
      <c r="I340" s="57">
        <f>[1]Native!E99</f>
        <v>8.0500000000000007</v>
      </c>
      <c r="J340" s="58">
        <f>[1]Native!F99</f>
        <v>7.76</v>
      </c>
      <c r="K340" s="80">
        <f>[1]Native!G99</f>
        <v>8.06</v>
      </c>
      <c r="L340" s="68">
        <f>[1]Native!H99</f>
        <v>8.16</v>
      </c>
      <c r="M340" s="58">
        <f>[1]Native!I99</f>
        <v>8.4</v>
      </c>
      <c r="N340" s="81">
        <f>[1]Native!J99</f>
        <v>8.64</v>
      </c>
      <c r="O340" s="62">
        <v>8.0299999999999994</v>
      </c>
      <c r="P340" s="81">
        <f>[1]Native!K99</f>
        <v>8.92</v>
      </c>
      <c r="Q340" s="82">
        <f>[1]Native!L99</f>
        <v>8.5</v>
      </c>
      <c r="R340" s="83">
        <v>8.5</v>
      </c>
      <c r="S340" s="84">
        <f>[1]Native!M99</f>
        <v>8.1199999999999992</v>
      </c>
      <c r="T340" s="66">
        <f>[1]Native!N99</f>
        <v>7.68</v>
      </c>
      <c r="U340" s="67">
        <f>[1]Native!O99</f>
        <v>6.95</v>
      </c>
      <c r="V340" s="68">
        <f>[1]Native!P99</f>
        <v>5.04</v>
      </c>
      <c r="W340" s="68">
        <v>6.09</v>
      </c>
      <c r="X340" s="68">
        <v>6.65</v>
      </c>
      <c r="Y340" s="68">
        <v>7.31</v>
      </c>
      <c r="Z340" s="68">
        <v>8.34</v>
      </c>
      <c r="AA340" s="68">
        <v>10.77</v>
      </c>
      <c r="AB340" s="68">
        <v>11.96</v>
      </c>
      <c r="AC340" s="68">
        <v>13.38</v>
      </c>
      <c r="AD340" s="68">
        <v>14.88</v>
      </c>
      <c r="AE340" s="68">
        <v>16.03</v>
      </c>
      <c r="AF340" s="68">
        <v>15.23</v>
      </c>
      <c r="AG340" s="69">
        <v>15.81</v>
      </c>
      <c r="AH340" s="70">
        <v>16.45</v>
      </c>
      <c r="AI340" s="70">
        <v>16.48</v>
      </c>
      <c r="AJ340" s="70">
        <v>16.79</v>
      </c>
      <c r="AK340" s="8">
        <f t="shared" si="63"/>
        <v>53</v>
      </c>
      <c r="AL340" s="8">
        <f t="shared" si="64"/>
        <v>55</v>
      </c>
      <c r="AM340" s="85">
        <f t="shared" si="65"/>
        <v>56</v>
      </c>
      <c r="AN340" s="23">
        <f t="shared" si="66"/>
        <v>59</v>
      </c>
      <c r="AO340" s="85">
        <f t="shared" si="61"/>
        <v>59</v>
      </c>
      <c r="AP340" s="72">
        <f t="shared" si="62"/>
        <v>66</v>
      </c>
      <c r="AQ340" s="71">
        <f t="shared" si="55"/>
        <v>63</v>
      </c>
      <c r="AR340" s="71">
        <f t="shared" si="55"/>
        <v>63</v>
      </c>
      <c r="AS340" s="71">
        <f t="shared" si="59"/>
        <v>61</v>
      </c>
      <c r="AT340" s="71">
        <f t="shared" si="60"/>
        <v>57</v>
      </c>
      <c r="AU340" s="71">
        <f t="shared" si="57"/>
        <v>52</v>
      </c>
      <c r="AV340" s="72">
        <f t="shared" si="56"/>
        <v>37</v>
      </c>
      <c r="AW340" s="72">
        <f>ROUND(W340/VLOOKUP($C340,CapRate,13),0)</f>
        <v>44</v>
      </c>
      <c r="AX340" s="72">
        <f>IF(ROUND(X340/VLOOKUP($C340,CapRate,14),0)&gt;10,X340/VLOOKUP($C340,CapRate,14),10)</f>
        <v>47.841726618705032</v>
      </c>
      <c r="AY340" s="72">
        <f>IF(ROUND(Y340/VLOOKUP($C340,CapRate,15),0)&gt;10,Y340/VLOOKUP($C340,CapRate,15),10)</f>
        <v>52.214285714285708</v>
      </c>
      <c r="AZ340" s="72">
        <f>IF(ROUND(Z340/VLOOKUP($C340,CapRate,16),0)&gt;10,Z340/VLOOKUP($C340,CapRate,16),10)</f>
        <v>59.444048467569488</v>
      </c>
      <c r="BA340" s="72">
        <f>IF(ROUND(AA340/VLOOKUP($C340,CapRate,17),0)&gt;10,AA340/VLOOKUP($C340,CapRate,17),10)</f>
        <v>76.274787535410766</v>
      </c>
      <c r="BB340" s="72">
        <f>IF(ROUND(AB340/VLOOKUP($C340,CapRate,18),0)&gt;10,AB340/VLOOKUP($C340,CapRate,18),10)</f>
        <v>84.403669724770651</v>
      </c>
      <c r="BC340" s="72">
        <f>IF(ROUND(AC340/VLOOKUP($C340,CapRate,19),0)&gt;10,AC340/VLOOKUP($C340,CapRate,19),10)</f>
        <v>94.092827004219416</v>
      </c>
      <c r="BD340" s="72">
        <f>IF(ROUND(AD340/VLOOKUP($C340,CapRate,20),0)&gt;10,AD340/VLOOKUP($C340,CapRate,20),10)</f>
        <v>104.34782608695653</v>
      </c>
      <c r="BE340" s="72">
        <f>IF(ROUND(AE340/VLOOKUP($C340,CapRate,21),0)&gt;10,AE340/VLOOKUP($C340,CapRate,21),10)</f>
        <v>112.09790209790212</v>
      </c>
      <c r="BF340" s="72">
        <f>IF(ROUND(AF340/VLOOKUP($C340,CapRate,22),0)&gt;10,AF340/VLOOKUP($C340,CapRate,22),10)</f>
        <v>106.35474860335196</v>
      </c>
      <c r="BG340" s="72">
        <f>IF(ROUND(AG340/VLOOKUP($C340,CapRate,23),0)&gt;10,AG340/VLOOKUP($C340,CapRate,23),10)</f>
        <v>110.32798325191905</v>
      </c>
      <c r="BH340" s="72">
        <f>IF(ROUND(AH340/VLOOKUP($C340,CapRate,24),0)&gt;10,AH340/VLOOKUP($C340,CapRate,24),10)</f>
        <v>114.63414634146342</v>
      </c>
      <c r="BI340" s="72">
        <f>IF(ROUND(AI340/VLOOKUP($C340,CapRate,25),0)&gt;10,AI340/VLOOKUP($C340,CapRate,25),10)</f>
        <v>114.76323119777159</v>
      </c>
      <c r="BJ340" s="72">
        <f>IF(ROUND(AJ340/VLOOKUP($C340,CapRate,26),0)&gt;10,AJ340/VLOOKUP($C340,CapRate,26),10)</f>
        <v>116.92200557103062</v>
      </c>
      <c r="BK340" s="75">
        <f t="shared" si="58"/>
        <v>1.8810679611650283E-2</v>
      </c>
      <c r="BL340" s="76"/>
      <c r="BM340" s="219">
        <f>BK340</f>
        <v>1.8810679611650283E-2</v>
      </c>
      <c r="BN340" s="220"/>
      <c r="BO340" s="220"/>
      <c r="BP340" s="220"/>
    </row>
    <row r="341" spans="1:70" ht="15.9" customHeight="1">
      <c r="A341" s="8"/>
      <c r="B341" s="22"/>
      <c r="C341" s="8" t="s">
        <v>164</v>
      </c>
      <c r="D341" s="23"/>
      <c r="E341" s="8" t="s">
        <v>85</v>
      </c>
      <c r="F341" s="188">
        <f>[1]AcreSummary!L101</f>
        <v>0.37392631542848764</v>
      </c>
      <c r="G341" s="25"/>
      <c r="H341" s="117"/>
      <c r="I341" s="57"/>
      <c r="J341" s="58">
        <f>[1]Tame!D68</f>
        <v>13.43</v>
      </c>
      <c r="K341" s="80">
        <f>[1]Tame!E68</f>
        <v>13.65</v>
      </c>
      <c r="L341" s="68">
        <f>[1]Tame!F68</f>
        <v>13.6</v>
      </c>
      <c r="M341" s="58">
        <f>[1]Tame!G68</f>
        <v>13.76</v>
      </c>
      <c r="N341" s="81">
        <f>[1]Tame!H68</f>
        <v>13.87</v>
      </c>
      <c r="O341" s="62">
        <v>13.87</v>
      </c>
      <c r="P341" s="81">
        <f>[1]Tame!I68</f>
        <v>14.01</v>
      </c>
      <c r="Q341" s="82">
        <f>[1]Tame!J68</f>
        <v>13.39</v>
      </c>
      <c r="R341" s="83">
        <v>13.39</v>
      </c>
      <c r="S341" s="84">
        <f>[1]Tame!K68</f>
        <v>12.72</v>
      </c>
      <c r="T341" s="66">
        <f>[1]Tame!L68</f>
        <v>11.93</v>
      </c>
      <c r="U341" s="67">
        <f>[1]Tame!M68</f>
        <v>11.02</v>
      </c>
      <c r="V341" s="68">
        <f>[1]Tame!N68</f>
        <v>2.98</v>
      </c>
      <c r="W341" s="68">
        <f>[1]Tame!O68</f>
        <v>2.7</v>
      </c>
      <c r="X341" s="68">
        <v>3.14</v>
      </c>
      <c r="Y341" s="68">
        <v>3.63</v>
      </c>
      <c r="Z341" s="68">
        <v>5.58</v>
      </c>
      <c r="AA341" s="68">
        <v>7.38</v>
      </c>
      <c r="AB341" s="68">
        <v>9.1999999999999993</v>
      </c>
      <c r="AC341" s="68">
        <v>0</v>
      </c>
      <c r="AD341" s="68">
        <v>12.09</v>
      </c>
      <c r="AE341" s="68">
        <v>13.12</v>
      </c>
      <c r="AF341" s="68">
        <v>13.47</v>
      </c>
      <c r="AG341" s="69">
        <v>13.89</v>
      </c>
      <c r="AH341" s="70">
        <v>14.36</v>
      </c>
      <c r="AI341" s="70">
        <v>14.7</v>
      </c>
      <c r="AJ341" s="70">
        <v>15.4</v>
      </c>
      <c r="AK341" s="8">
        <f>ROUND(J341/VLOOKUP($C341,CapRate,2),0)</f>
        <v>92</v>
      </c>
      <c r="AL341" s="8">
        <f>ROUND(K341/VLOOKUP($C341,CapRate,3),0)</f>
        <v>94</v>
      </c>
      <c r="AM341" s="85">
        <f>ROUND(L341/VLOOKUP($C341,CapRate,4),0)</f>
        <v>93</v>
      </c>
      <c r="AN341" s="23">
        <f>ROUND(M341/VLOOKUP($C341,CapRate,5),0)</f>
        <v>96</v>
      </c>
      <c r="AO341" s="85">
        <f t="shared" si="61"/>
        <v>101</v>
      </c>
      <c r="AP341" s="72">
        <f t="shared" si="62"/>
        <v>104</v>
      </c>
      <c r="AQ341" s="71">
        <f t="shared" si="55"/>
        <v>100</v>
      </c>
      <c r="AR341" s="71">
        <f t="shared" si="55"/>
        <v>100</v>
      </c>
      <c r="AS341" s="71">
        <f t="shared" si="59"/>
        <v>95</v>
      </c>
      <c r="AT341" s="71">
        <f t="shared" si="60"/>
        <v>89</v>
      </c>
      <c r="AU341" s="71">
        <f t="shared" si="57"/>
        <v>82</v>
      </c>
      <c r="AV341" s="72">
        <f>IF(ROUND(V341/VLOOKUP($C341,CapRate,12),0)&gt;AV340,V341/VLOOKUP($C341,CapRate,12),AV340)</f>
        <v>37</v>
      </c>
      <c r="AW341" s="72">
        <f>IF(ROUND(W341/VLOOKUP($C341,CapRate,13),0)&gt;AW340,W341/VLOOKUP($C341,CapRate,13),AW340)</f>
        <v>44</v>
      </c>
      <c r="AX341" s="72">
        <f>IF(ROUND(X341/VLOOKUP($C341,CapRate,14),0)&gt;AX340,X341/VLOOKUP($C341,CapRate,14),AX340)</f>
        <v>47.841726618705032</v>
      </c>
      <c r="AY341" s="72">
        <f>IF(ROUND(Y341/VLOOKUP($C341,CapRate,15),0)&gt;AY340,Y341/VLOOKUP($C341,CapRate,15),AY340)</f>
        <v>52.214285714285708</v>
      </c>
      <c r="AZ341" s="72">
        <f>IF(ROUND(Z341/VLOOKUP($C341,CapRate,16),0)&gt;AZ340,Z341/VLOOKUP($C341,CapRate,16),AZ340)</f>
        <v>59.444048467569488</v>
      </c>
      <c r="BA341" s="72">
        <f>IF(ROUND(AA341/VLOOKUP($C341,CapRate,17),0)&gt;BA340,AA341/VLOOKUP($C341,CapRate,17),BA340)</f>
        <v>76.274787535410766</v>
      </c>
      <c r="BB341" s="72">
        <f>IF(ROUND(AB341/VLOOKUP($C341,CapRate,18),0)&gt;BB340,AB341/VLOOKUP($C341,CapRate,18),BB340)</f>
        <v>84.403669724770651</v>
      </c>
      <c r="BC341" s="72">
        <f>IF(ROUND(AC341/VLOOKUP($C341,CapRate,19),0)&gt;BC340,AC341/VLOOKUP($C341,CapRate,19),BC340)</f>
        <v>94.092827004219416</v>
      </c>
      <c r="BD341" s="72">
        <f>IF(ROUND(AD341/VLOOKUP($C341,CapRate,20),0)&gt;BD340,AD341/VLOOKUP($C341,CapRate,20),BD340)</f>
        <v>104.34782608695653</v>
      </c>
      <c r="BE341" s="72">
        <f>IF(ROUND(AE341/VLOOKUP($C341,CapRate,21),0)&gt;BE340,AE341/VLOOKUP($C341,CapRate,21),BE340)</f>
        <v>112.09790209790212</v>
      </c>
      <c r="BF341" s="72">
        <f>IF(ROUND(AF341/VLOOKUP($C341,CapRate,22),0)&gt;BF340,AF341/VLOOKUP($C341,CapRate,22),BF340)</f>
        <v>106.35474860335196</v>
      </c>
      <c r="BG341" s="72">
        <f>IF(ROUND(AG341/VLOOKUP($C341,CapRate,23),0)&gt;BG340,AG341/VLOOKUP($C341,CapRate,23),BG340)</f>
        <v>110.32798325191905</v>
      </c>
      <c r="BH341" s="72">
        <f>IF(ROUND(AH341/VLOOKUP($C341,CapRate,24),0)&gt;BH340,AH341/VLOOKUP($C341,CapRate,24),BH340)</f>
        <v>114.63414634146342</v>
      </c>
      <c r="BI341" s="72">
        <f>IF(ROUND(AI341/VLOOKUP($C341,CapRate,25),0)&gt;BI340,AI341/VLOOKUP($C341,CapRate,25),BI340)</f>
        <v>114.76323119777159</v>
      </c>
      <c r="BJ341" s="72">
        <f>IF(ROUND(AJ341/VLOOKUP($C341,CapRate,26),0)&gt;BJ340,AJ341/VLOOKUP($C341,CapRate,26),BJ340)</f>
        <v>116.92200557103062</v>
      </c>
      <c r="BK341" s="87">
        <f t="shared" si="58"/>
        <v>1.8810679611650283E-2</v>
      </c>
      <c r="BL341" s="76"/>
      <c r="BM341" s="77"/>
      <c r="BN341" s="77"/>
      <c r="BO341" s="77"/>
      <c r="BP341" s="77">
        <f>BK341</f>
        <v>1.8810679611650283E-2</v>
      </c>
    </row>
    <row r="342" spans="1:70" ht="15.9" customHeight="1" thickBot="1">
      <c r="A342" s="8" t="s">
        <v>155</v>
      </c>
      <c r="B342" s="22"/>
      <c r="C342" s="90" t="s">
        <v>164</v>
      </c>
      <c r="D342" s="91"/>
      <c r="E342" s="90" t="s">
        <v>40</v>
      </c>
      <c r="F342" s="190">
        <f>[1]AcreSummary!J101</f>
        <v>0.37372896505286601</v>
      </c>
      <c r="G342" s="191"/>
      <c r="H342" s="94"/>
      <c r="I342" s="95">
        <f>[1]Dry!E101</f>
        <v>23.77</v>
      </c>
      <c r="J342" s="96">
        <f>[1]Dry!F101</f>
        <v>23.66</v>
      </c>
      <c r="K342" s="97">
        <f>[1]Dry!G101</f>
        <v>24.27</v>
      </c>
      <c r="L342" s="98">
        <f>[1]Dry!H101</f>
        <v>25.16</v>
      </c>
      <c r="M342" s="96">
        <f>[1]Dry!I101</f>
        <v>26.51</v>
      </c>
      <c r="N342" s="99">
        <f>[1]Dry!J101</f>
        <v>27.87</v>
      </c>
      <c r="O342" s="100">
        <v>27.72</v>
      </c>
      <c r="P342" s="99">
        <f>[1]Dry!K101</f>
        <v>28.4</v>
      </c>
      <c r="Q342" s="101">
        <f>[1]Dry!L101</f>
        <v>28.97</v>
      </c>
      <c r="R342" s="221">
        <f>Q342*0.95</f>
        <v>27.521499999999996</v>
      </c>
      <c r="S342" s="103">
        <f>[1]Dry!N101</f>
        <v>28.63</v>
      </c>
      <c r="T342" s="104">
        <f>[1]Dry!O101</f>
        <v>28.46</v>
      </c>
      <c r="U342" s="105">
        <f>[1]Dry!P101</f>
        <v>27.43</v>
      </c>
      <c r="V342" s="98">
        <f>[1]Dry!Q101</f>
        <v>22.55</v>
      </c>
      <c r="W342" s="98">
        <f>[1]Dry!R101</f>
        <v>25.85</v>
      </c>
      <c r="X342" s="98">
        <f>[1]Dry!S101</f>
        <v>28.79</v>
      </c>
      <c r="Y342" s="98">
        <f>[1]Dry!T101</f>
        <v>32.369999999999997</v>
      </c>
      <c r="Z342" s="98">
        <v>36.56</v>
      </c>
      <c r="AA342" s="98">
        <v>42.37</v>
      </c>
      <c r="AB342" s="98">
        <v>47.46</v>
      </c>
      <c r="AC342" s="98">
        <v>51.62</v>
      </c>
      <c r="AD342" s="98">
        <v>53.34</v>
      </c>
      <c r="AE342" s="98">
        <v>53.21</v>
      </c>
      <c r="AF342" s="98">
        <v>54.43</v>
      </c>
      <c r="AG342" s="106">
        <v>55.53</v>
      </c>
      <c r="AH342" s="107">
        <v>54.39</v>
      </c>
      <c r="AI342" s="107">
        <v>49.13</v>
      </c>
      <c r="AJ342" s="107">
        <v>45.41</v>
      </c>
      <c r="AK342" s="90">
        <f t="shared" si="63"/>
        <v>162</v>
      </c>
      <c r="AL342" s="90">
        <f t="shared" si="64"/>
        <v>167</v>
      </c>
      <c r="AM342" s="108">
        <f t="shared" si="65"/>
        <v>171</v>
      </c>
      <c r="AN342" s="91">
        <f t="shared" si="66"/>
        <v>185</v>
      </c>
      <c r="AO342" s="108">
        <f t="shared" si="61"/>
        <v>202</v>
      </c>
      <c r="AP342" s="109">
        <f t="shared" si="62"/>
        <v>211</v>
      </c>
      <c r="AQ342" s="110">
        <f t="shared" si="55"/>
        <v>216</v>
      </c>
      <c r="AR342" s="222">
        <f t="shared" si="55"/>
        <v>205</v>
      </c>
      <c r="AS342" s="110">
        <f t="shared" si="59"/>
        <v>214</v>
      </c>
      <c r="AT342" s="110">
        <f t="shared" si="60"/>
        <v>213</v>
      </c>
      <c r="AU342" s="110">
        <f t="shared" si="57"/>
        <v>205</v>
      </c>
      <c r="AV342" s="109">
        <f t="shared" si="56"/>
        <v>164</v>
      </c>
      <c r="AW342" s="109">
        <f>ROUND(W342/VLOOKUP($C342,CapRate,13),0)</f>
        <v>187</v>
      </c>
      <c r="AX342" s="72">
        <f>ROUND(X342/VLOOKUP($C342,CapRate,14),0)</f>
        <v>207</v>
      </c>
      <c r="AY342" s="72">
        <f>ROUND(Y342/VLOOKUP($C342,CapRate,15),0)</f>
        <v>231</v>
      </c>
      <c r="AZ342" s="72">
        <f>ROUND(Z342/VLOOKUP($C342,CapRate,16),0)</f>
        <v>261</v>
      </c>
      <c r="BA342" s="72">
        <f>ROUND(AA342/VLOOKUP($C342,CapRate,17),0)</f>
        <v>300</v>
      </c>
      <c r="BB342" s="72">
        <f>ROUND(AB342/VLOOKUP($C342,CapRate,18),0)</f>
        <v>335</v>
      </c>
      <c r="BC342" s="72">
        <f>ROUND(AC342/VLOOKUP($C342,CapRate,19),0)</f>
        <v>363</v>
      </c>
      <c r="BD342" s="72">
        <f>ROUND(AD342/VLOOKUP($C342,CapRate,20),0)</f>
        <v>374</v>
      </c>
      <c r="BE342" s="72">
        <f>ROUND(AE342/VLOOKUP($C342,CapRate,21),0)</f>
        <v>372</v>
      </c>
      <c r="BF342" s="72">
        <f>ROUND(AF342/VLOOKUP($C342,CapRate,22),0)</f>
        <v>380</v>
      </c>
      <c r="BG342" s="72">
        <f>ROUND(AG342/VLOOKUP($C342,CapRate,23),0)</f>
        <v>388</v>
      </c>
      <c r="BH342" s="72">
        <f>ROUND(AH342/VLOOKUP($C342,CapRate,24),0)</f>
        <v>379</v>
      </c>
      <c r="BI342" s="72">
        <f>ROUND(AI342/VLOOKUP($C342,CapRate,25),0)</f>
        <v>342</v>
      </c>
      <c r="BJ342" s="72">
        <f>ROUND(AJ342/VLOOKUP($C342,CapRate,26),0)</f>
        <v>316</v>
      </c>
      <c r="BK342" s="87">
        <f t="shared" si="58"/>
        <v>-7.6023391812865548E-2</v>
      </c>
      <c r="BL342" s="114">
        <f>((F340*BK340)+(F341*BK341)+(F342*BK342))</f>
        <v>-1.6730524772006945E-2</v>
      </c>
      <c r="BM342" s="226"/>
      <c r="BN342" s="227">
        <f>BK342</f>
        <v>-7.6023391812865548E-2</v>
      </c>
      <c r="BO342" s="227"/>
      <c r="BP342" s="227"/>
    </row>
    <row r="343" spans="1:70" ht="15.9" customHeight="1" thickTop="1">
      <c r="A343" s="8" t="s">
        <v>155</v>
      </c>
      <c r="B343" s="22"/>
      <c r="C343" s="8" t="s">
        <v>165</v>
      </c>
      <c r="D343" s="23" t="s">
        <v>165</v>
      </c>
      <c r="E343" s="8" t="s">
        <v>39</v>
      </c>
      <c r="F343" s="188">
        <f>[1]AcreSummary!M102</f>
        <v>0.90683934251913667</v>
      </c>
      <c r="G343" s="25"/>
      <c r="H343" s="117"/>
      <c r="I343" s="57">
        <f>[1]Native!E100</f>
        <v>8.01</v>
      </c>
      <c r="J343" s="58">
        <f>[1]Native!F100</f>
        <v>8.0500000000000007</v>
      </c>
      <c r="K343" s="80">
        <f>[1]Native!G100</f>
        <v>8.2899999999999991</v>
      </c>
      <c r="L343" s="68">
        <f>[1]Native!H100</f>
        <v>8.41</v>
      </c>
      <c r="M343" s="58">
        <f>[1]Native!I100</f>
        <v>8.7100000000000009</v>
      </c>
      <c r="N343" s="81">
        <f>[1]Native!J100</f>
        <v>8.99</v>
      </c>
      <c r="O343" s="62">
        <v>8.73</v>
      </c>
      <c r="P343" s="81">
        <f>[1]Native!K100</f>
        <v>9.3800000000000008</v>
      </c>
      <c r="Q343" s="82">
        <f>[1]Native!L100</f>
        <v>8.8000000000000007</v>
      </c>
      <c r="R343" s="83">
        <v>8.8000000000000007</v>
      </c>
      <c r="S343" s="84">
        <f>[1]Native!M100</f>
        <v>8.27</v>
      </c>
      <c r="T343" s="66">
        <f>[1]Native!N100</f>
        <v>7.62</v>
      </c>
      <c r="U343" s="67">
        <f>[1]Native!O100</f>
        <v>6.7</v>
      </c>
      <c r="V343" s="68">
        <f>[1]Native!P100</f>
        <v>3.09</v>
      </c>
      <c r="W343" s="68">
        <f>[1]Native!Q100</f>
        <v>3.1</v>
      </c>
      <c r="X343" s="68">
        <v>3.71</v>
      </c>
      <c r="Y343" s="68">
        <v>4.4000000000000004</v>
      </c>
      <c r="Z343" s="68">
        <v>5.49</v>
      </c>
      <c r="AA343" s="68">
        <v>6.68</v>
      </c>
      <c r="AB343" s="68">
        <v>7.88</v>
      </c>
      <c r="AC343" s="68">
        <v>9.16</v>
      </c>
      <c r="AD343" s="68">
        <v>10.54</v>
      </c>
      <c r="AE343" s="68">
        <v>11.57</v>
      </c>
      <c r="AF343" s="68">
        <v>12</v>
      </c>
      <c r="AG343" s="69">
        <v>12.49</v>
      </c>
      <c r="AH343" s="70">
        <v>13.02</v>
      </c>
      <c r="AI343" s="70">
        <v>12.93</v>
      </c>
      <c r="AJ343" s="70">
        <v>13.12</v>
      </c>
      <c r="AK343" s="8">
        <f t="shared" si="63"/>
        <v>52</v>
      </c>
      <c r="AL343" s="8">
        <f t="shared" si="64"/>
        <v>54</v>
      </c>
      <c r="AM343" s="85">
        <f t="shared" si="65"/>
        <v>55</v>
      </c>
      <c r="AN343" s="23">
        <f t="shared" si="66"/>
        <v>58</v>
      </c>
      <c r="AO343" s="85">
        <f t="shared" si="61"/>
        <v>60</v>
      </c>
      <c r="AP343" s="72">
        <f t="shared" si="62"/>
        <v>65</v>
      </c>
      <c r="AQ343" s="71">
        <f t="shared" si="55"/>
        <v>61</v>
      </c>
      <c r="AR343" s="71">
        <f t="shared" si="55"/>
        <v>61</v>
      </c>
      <c r="AS343" s="71">
        <f t="shared" si="59"/>
        <v>58</v>
      </c>
      <c r="AT343" s="71">
        <f t="shared" si="60"/>
        <v>53</v>
      </c>
      <c r="AU343" s="71">
        <f t="shared" si="57"/>
        <v>46</v>
      </c>
      <c r="AV343" s="72">
        <f t="shared" si="56"/>
        <v>20</v>
      </c>
      <c r="AW343" s="72">
        <f>ROUND(W343/VLOOKUP($C343,CapRate,13),0)</f>
        <v>20</v>
      </c>
      <c r="AX343" s="122">
        <f>IF(ROUND(X343/VLOOKUP($C343,CapRate,14),0)&gt;10,X343/VLOOKUP($C343,CapRate,14),10)</f>
        <v>23.525681674064678</v>
      </c>
      <c r="AY343" s="122">
        <f>IF(ROUND(Y343/VLOOKUP($C343,CapRate,15),0)&gt;10,Y343/VLOOKUP($C343,CapRate,15),10)</f>
        <v>27.380211574362168</v>
      </c>
      <c r="AZ343" s="122">
        <f>IF(ROUND(Z343/VLOOKUP($C343,CapRate,16),0)&gt;10,Z343/VLOOKUP($C343,CapRate,16),10)</f>
        <v>34.14179104477612</v>
      </c>
      <c r="BA343" s="122">
        <f>IF(ROUND(AA343/VLOOKUP($C343,CapRate,17),0)&gt;10,AA343/VLOOKUP($C343,CapRate,17),10)</f>
        <v>41.082410824108244</v>
      </c>
      <c r="BB343" s="122">
        <f>IF(ROUND(AB343/VLOOKUP($C343,CapRate,18),0)&gt;10,AB343/VLOOKUP($C343,CapRate,18),10)</f>
        <v>48.13683567501527</v>
      </c>
      <c r="BC343" s="122">
        <f>IF(ROUND(AC343/VLOOKUP($C343,CapRate,19),0)&gt;10,AC343/VLOOKUP($C343,CapRate,19),10)</f>
        <v>56.058751529987767</v>
      </c>
      <c r="BD343" s="122">
        <f>IF(ROUND(AD343/VLOOKUP($C343,CapRate,20),0)&gt;10,AD343/VLOOKUP($C343,CapRate,20),10)</f>
        <v>64.504283965728277</v>
      </c>
      <c r="BE343" s="122">
        <f>IF(ROUND(AE343/VLOOKUP($C343,CapRate,21),0)&gt;10,AE343/VLOOKUP($C343,CapRate,21),10)</f>
        <v>71.112476951444378</v>
      </c>
      <c r="BF343" s="122">
        <f>IF(ROUND(AF343/VLOOKUP($C343,CapRate,22),0)&gt;10,AF343/VLOOKUP($C343,CapRate,22),10)</f>
        <v>73.982737361282361</v>
      </c>
      <c r="BG343" s="122">
        <f>IF(ROUND(AG343/VLOOKUP($C343,CapRate,23),0)&gt;10,AG343/VLOOKUP($C343,CapRate,23),10)</f>
        <v>77.337461300309599</v>
      </c>
      <c r="BH343" s="122">
        <f>IF(ROUND(AH343/VLOOKUP($C343,CapRate,24),0)&gt;10,AH343/VLOOKUP($C343,CapRate,24),10)</f>
        <v>80.719156850588959</v>
      </c>
      <c r="BI343" s="122">
        <f>IF(ROUND(AI343/VLOOKUP($C343,CapRate,25),0)&gt;10,AI343/VLOOKUP($C343,CapRate,25),10)</f>
        <v>80.260707635009311</v>
      </c>
      <c r="BJ343" s="122">
        <f>IF(ROUND(AJ343/VLOOKUP($C343,CapRate,26),0)&gt;10,AJ343/VLOOKUP($C343,CapRate,26),10)</f>
        <v>81.744548286604356</v>
      </c>
      <c r="BK343" s="75">
        <f t="shared" si="58"/>
        <v>1.8487759394583358E-2</v>
      </c>
      <c r="BL343" s="76"/>
      <c r="BM343" s="219">
        <f>BK343</f>
        <v>1.8487759394583358E-2</v>
      </c>
      <c r="BN343" s="220"/>
      <c r="BO343" s="220"/>
      <c r="BP343" s="220"/>
    </row>
    <row r="344" spans="1:70" ht="15.9" customHeight="1">
      <c r="A344" s="8"/>
      <c r="B344" s="22"/>
      <c r="C344" s="8" t="s">
        <v>165</v>
      </c>
      <c r="D344" s="23"/>
      <c r="E344" s="8" t="s">
        <v>85</v>
      </c>
      <c r="F344" s="188">
        <f>[1]AcreSummary!L102</f>
        <v>1.5788881676030247E-2</v>
      </c>
      <c r="G344" s="25"/>
      <c r="H344" s="117"/>
      <c r="I344" s="57"/>
      <c r="J344" s="58">
        <f>[1]Tame!D69</f>
        <v>11.91</v>
      </c>
      <c r="K344" s="80">
        <f>[1]Tame!E69</f>
        <v>11.98</v>
      </c>
      <c r="L344" s="68">
        <f>[1]Tame!F69</f>
        <v>11.78</v>
      </c>
      <c r="M344" s="58">
        <f>[1]Tame!G69</f>
        <v>11.77</v>
      </c>
      <c r="N344" s="81">
        <f>[1]Tame!H69</f>
        <v>11.68</v>
      </c>
      <c r="O344" s="62">
        <v>11.65</v>
      </c>
      <c r="P344" s="81">
        <f>[1]Tame!I69</f>
        <v>11.66</v>
      </c>
      <c r="Q344" s="82">
        <f>[1]Tame!J69</f>
        <v>10.99</v>
      </c>
      <c r="R344" s="83">
        <v>10.99</v>
      </c>
      <c r="S344" s="84">
        <f>[1]Tame!K69</f>
        <v>10.210000000000001</v>
      </c>
      <c r="T344" s="66">
        <f>[1]Tame!L69</f>
        <v>9.17</v>
      </c>
      <c r="U344" s="67">
        <f>[1]Tame!M69</f>
        <v>8.26</v>
      </c>
      <c r="V344" s="68">
        <f>[1]Tame!N69</f>
        <v>0.79</v>
      </c>
      <c r="W344" s="68">
        <f>[1]Tame!O69</f>
        <v>0.68</v>
      </c>
      <c r="X344" s="68">
        <v>1.27</v>
      </c>
      <c r="Y344" s="68">
        <v>1.95</v>
      </c>
      <c r="Z344" s="68">
        <v>4.08</v>
      </c>
      <c r="AA344" s="68">
        <v>6.09</v>
      </c>
      <c r="AB344" s="68">
        <v>7.9</v>
      </c>
      <c r="AC344" s="68">
        <v>9.7899999999999991</v>
      </c>
      <c r="AD344" s="68">
        <v>10.79</v>
      </c>
      <c r="AE344" s="68">
        <v>11.83</v>
      </c>
      <c r="AF344" s="68">
        <v>12.37</v>
      </c>
      <c r="AG344" s="69">
        <v>12.78</v>
      </c>
      <c r="AH344" s="70">
        <v>13.21</v>
      </c>
      <c r="AI344" s="70">
        <v>13.51</v>
      </c>
      <c r="AJ344" s="70">
        <v>14.16</v>
      </c>
      <c r="AK344" s="8">
        <f>ROUND(J344/VLOOKUP($C344,CapRate,2),0)</f>
        <v>78</v>
      </c>
      <c r="AL344" s="8">
        <f>ROUND(K344/VLOOKUP($C344,CapRate,3),0)</f>
        <v>78</v>
      </c>
      <c r="AM344" s="85">
        <f>ROUND(L344/VLOOKUP($C344,CapRate,4),0)</f>
        <v>76</v>
      </c>
      <c r="AN344" s="23">
        <f>ROUND(M344/VLOOKUP($C344,CapRate,5),0)</f>
        <v>78</v>
      </c>
      <c r="AO344" s="85">
        <f t="shared" si="61"/>
        <v>80</v>
      </c>
      <c r="AP344" s="72">
        <f t="shared" si="62"/>
        <v>81</v>
      </c>
      <c r="AQ344" s="71">
        <f t="shared" si="55"/>
        <v>77</v>
      </c>
      <c r="AR344" s="71">
        <f t="shared" si="55"/>
        <v>77</v>
      </c>
      <c r="AS344" s="71">
        <f t="shared" si="59"/>
        <v>71</v>
      </c>
      <c r="AT344" s="71">
        <f t="shared" si="60"/>
        <v>64</v>
      </c>
      <c r="AU344" s="71">
        <f t="shared" si="57"/>
        <v>57</v>
      </c>
      <c r="AV344" s="72">
        <f>IF(ROUND(V344/VLOOKUP($C344,CapRate,12),0)&gt;AV343,V344/VLOOKUP($C344,CapRate,12),AV343)</f>
        <v>20</v>
      </c>
      <c r="AW344" s="72">
        <f>IF(ROUND(W344/VLOOKUP($C344,CapRate,13),0)&gt;AW343,W344/VLOOKUP($C344,CapRate,13),AW343)</f>
        <v>20</v>
      </c>
      <c r="AX344" s="72">
        <f>IF(ROUND(X344/VLOOKUP($C344,CapRate,14),0)&gt;AX343,X344/VLOOKUP($C344,CapRate,14),AX343)</f>
        <v>23.525681674064678</v>
      </c>
      <c r="AY344" s="72">
        <f>IF(ROUND(Y344/VLOOKUP($C344,CapRate,15),0)&gt;AY343,Y344/VLOOKUP($C344,CapRate,15),AY343)</f>
        <v>27.380211574362168</v>
      </c>
      <c r="AZ344" s="72">
        <f>IF(ROUND(Z344/VLOOKUP($C344,CapRate,16),0)&gt;AZ343,Z344/VLOOKUP($C344,CapRate,16),AZ343)</f>
        <v>34.14179104477612</v>
      </c>
      <c r="BA344" s="72">
        <f>IF(ROUND(AA344/VLOOKUP($C344,CapRate,17),0)&gt;BA343,AA344/VLOOKUP($C344,CapRate,17),BA343)</f>
        <v>41.082410824108244</v>
      </c>
      <c r="BB344" s="72">
        <f>IF(ROUND(AB344/VLOOKUP($C344,CapRate,18),0)&gt;BB343,AB344/VLOOKUP($C344,CapRate,18),BB343)</f>
        <v>48.13683567501527</v>
      </c>
      <c r="BC344" s="72">
        <f>IF(ROUND(AC344/VLOOKUP($C344,CapRate,19),0)&gt;BC343,AC344/VLOOKUP($C344,CapRate,19),BC343)</f>
        <v>59.914320685434518</v>
      </c>
      <c r="BD344" s="72">
        <f>IF(ROUND(AD344/VLOOKUP($C344,CapRate,20),0)&gt;BD343,AD344/VLOOKUP($C344,CapRate,20),BD343)</f>
        <v>66.034271725826187</v>
      </c>
      <c r="BE344" s="72">
        <f>IF(ROUND(AE344/VLOOKUP($C344,CapRate,21),0)&gt;BE343,AE344/VLOOKUP($C344,CapRate,21),BE343)</f>
        <v>72.710510141364466</v>
      </c>
      <c r="BF344" s="72">
        <f>IF(ROUND(AF344/VLOOKUP($C344,CapRate,22),0)&gt;BF343,AF344/VLOOKUP($C344,CapRate,22),BF343)</f>
        <v>76.263871763255224</v>
      </c>
      <c r="BG344" s="72">
        <f>IF(ROUND(AG344/VLOOKUP($C344,CapRate,23),0)&gt;BG343,AG344/VLOOKUP($C344,CapRate,23),BG343)</f>
        <v>79.133126934984517</v>
      </c>
      <c r="BH344" s="72">
        <f>IF(ROUND(AH344/VLOOKUP($C344,CapRate,24),0)&gt;BH343,AH344/VLOOKUP($C344,CapRate,24),BH343)</f>
        <v>81.897086174829511</v>
      </c>
      <c r="BI344" s="72">
        <f>IF(ROUND(AI344/VLOOKUP($C344,CapRate,25),0)&gt;BI343,AI344/VLOOKUP($C344,CapRate,25),BI343)</f>
        <v>83.860955927995036</v>
      </c>
      <c r="BJ344" s="72">
        <f>IF(ROUND(AJ344/VLOOKUP($C344,CapRate,26),0)&gt;BJ343,AJ344/VLOOKUP($C344,CapRate,26),BJ343)</f>
        <v>88.224299065420553</v>
      </c>
      <c r="BK344" s="87">
        <f t="shared" si="58"/>
        <v>5.2030686857087449E-2</v>
      </c>
      <c r="BL344" s="76"/>
      <c r="BM344" s="77"/>
      <c r="BN344" s="77"/>
      <c r="BO344" s="77"/>
      <c r="BP344" s="77">
        <f>BK344</f>
        <v>5.2030686857087449E-2</v>
      </c>
    </row>
    <row r="345" spans="1:70" ht="15.9" customHeight="1" thickBot="1">
      <c r="A345" s="8" t="s">
        <v>155</v>
      </c>
      <c r="B345" s="22"/>
      <c r="C345" s="90" t="s">
        <v>165</v>
      </c>
      <c r="D345" s="91"/>
      <c r="E345" s="90" t="s">
        <v>40</v>
      </c>
      <c r="F345" s="190">
        <f>[1]AcreSummary!J102</f>
        <v>7.7371775804833065E-2</v>
      </c>
      <c r="G345" s="191"/>
      <c r="H345" s="94"/>
      <c r="I345" s="95">
        <f>[1]Dry!E102</f>
        <v>22.86</v>
      </c>
      <c r="J345" s="96">
        <f>[1]Dry!F102</f>
        <v>21.48</v>
      </c>
      <c r="K345" s="97">
        <f>[1]Dry!G102</f>
        <v>22.42</v>
      </c>
      <c r="L345" s="98">
        <f>[1]Dry!H102</f>
        <v>23.75</v>
      </c>
      <c r="M345" s="96">
        <f>[1]Dry!I102</f>
        <v>25.51</v>
      </c>
      <c r="N345" s="99">
        <f>[1]Dry!J102</f>
        <v>27.34</v>
      </c>
      <c r="O345" s="100">
        <v>27.62</v>
      </c>
      <c r="P345" s="99">
        <f>[1]Dry!K102</f>
        <v>28.47</v>
      </c>
      <c r="Q345" s="101">
        <f>[1]Dry!L102</f>
        <v>29.46</v>
      </c>
      <c r="R345" s="221">
        <f>Q345*0.95</f>
        <v>27.986999999999998</v>
      </c>
      <c r="S345" s="103">
        <f>[1]Dry!N102</f>
        <v>30.4</v>
      </c>
      <c r="T345" s="104">
        <f>[1]Dry!O102</f>
        <v>31.6</v>
      </c>
      <c r="U345" s="105">
        <f>[1]Dry!P102</f>
        <v>31.51</v>
      </c>
      <c r="V345" s="98">
        <f>[1]Dry!Q102</f>
        <v>31.31</v>
      </c>
      <c r="W345" s="98">
        <f>[1]Dry!R102</f>
        <v>32.840000000000003</v>
      </c>
      <c r="X345" s="98">
        <f>[1]Dry!S102</f>
        <v>34.07</v>
      </c>
      <c r="Y345" s="98">
        <f>[1]Dry!T102</f>
        <v>36.15</v>
      </c>
      <c r="Z345" s="98">
        <v>38.28</v>
      </c>
      <c r="AA345" s="98">
        <v>41.67</v>
      </c>
      <c r="AB345" s="98">
        <v>44.96</v>
      </c>
      <c r="AC345" s="98">
        <v>47.67</v>
      </c>
      <c r="AD345" s="98">
        <v>48.1</v>
      </c>
      <c r="AE345" s="98">
        <v>48.21</v>
      </c>
      <c r="AF345" s="98">
        <v>50.74</v>
      </c>
      <c r="AG345" s="106">
        <v>53.2</v>
      </c>
      <c r="AH345" s="107">
        <v>51.93</v>
      </c>
      <c r="AI345" s="107">
        <v>46.57</v>
      </c>
      <c r="AJ345" s="107">
        <v>42.34</v>
      </c>
      <c r="AK345" s="90">
        <f t="shared" si="63"/>
        <v>140</v>
      </c>
      <c r="AL345" s="90">
        <f t="shared" si="64"/>
        <v>146</v>
      </c>
      <c r="AM345" s="108">
        <f t="shared" si="65"/>
        <v>154</v>
      </c>
      <c r="AN345" s="91">
        <f t="shared" si="66"/>
        <v>169</v>
      </c>
      <c r="AO345" s="108">
        <f t="shared" si="61"/>
        <v>190</v>
      </c>
      <c r="AP345" s="109">
        <f t="shared" si="62"/>
        <v>199</v>
      </c>
      <c r="AQ345" s="110">
        <f t="shared" si="55"/>
        <v>205</v>
      </c>
      <c r="AR345" s="222">
        <f t="shared" si="55"/>
        <v>195</v>
      </c>
      <c r="AS345" s="110">
        <f t="shared" si="59"/>
        <v>212</v>
      </c>
      <c r="AT345" s="110">
        <f t="shared" si="60"/>
        <v>219</v>
      </c>
      <c r="AU345" s="110">
        <f t="shared" si="57"/>
        <v>218</v>
      </c>
      <c r="AV345" s="109">
        <f t="shared" si="56"/>
        <v>203</v>
      </c>
      <c r="AW345" s="109">
        <f>ROUND(W345/VLOOKUP($C345,CapRate,13),0)</f>
        <v>210</v>
      </c>
      <c r="AX345" s="72">
        <f>ROUND(X345/VLOOKUP($C345,CapRate,14),0)</f>
        <v>216</v>
      </c>
      <c r="AY345" s="72">
        <f>ROUND(Y345/VLOOKUP($C345,CapRate,15),0)</f>
        <v>225</v>
      </c>
      <c r="AZ345" s="72">
        <f>ROUND(Z345/VLOOKUP($C345,CapRate,16),0)</f>
        <v>238</v>
      </c>
      <c r="BA345" s="72">
        <f>ROUND(AA345/VLOOKUP($C345,CapRate,17),0)</f>
        <v>256</v>
      </c>
      <c r="BB345" s="72">
        <f>ROUND(AB345/VLOOKUP($C345,CapRate,18),0)</f>
        <v>275</v>
      </c>
      <c r="BC345" s="72">
        <f>ROUND(AC345/VLOOKUP($C345,CapRate,19),0)</f>
        <v>292</v>
      </c>
      <c r="BD345" s="72">
        <f>ROUND(AD345/VLOOKUP($C345,CapRate,20),0)</f>
        <v>294</v>
      </c>
      <c r="BE345" s="72">
        <f>ROUND(AE345/VLOOKUP($C345,CapRate,21),0)</f>
        <v>296</v>
      </c>
      <c r="BF345" s="72">
        <f>ROUND(AF345/VLOOKUP($C345,CapRate,22),0)</f>
        <v>313</v>
      </c>
      <c r="BG345" s="72">
        <f>ROUND(AG345/VLOOKUP($C345,CapRate,23),0)</f>
        <v>329</v>
      </c>
      <c r="BH345" s="72">
        <f>ROUND(AH345/VLOOKUP($C345,CapRate,24),0)</f>
        <v>322</v>
      </c>
      <c r="BI345" s="72">
        <f>ROUND(AI345/VLOOKUP($C345,CapRate,25),0)</f>
        <v>289</v>
      </c>
      <c r="BJ345" s="72">
        <f>ROUND(AJ345/VLOOKUP($C345,CapRate,26),0)</f>
        <v>264</v>
      </c>
      <c r="BK345" s="87">
        <f t="shared" si="58"/>
        <v>-8.6505190311418678E-2</v>
      </c>
      <c r="BL345" s="114">
        <f>((F343*BK343)+(F344*BK344)+(F345*BK345))</f>
        <v>1.0893873741615597E-2</v>
      </c>
      <c r="BM345" s="226"/>
      <c r="BN345" s="227">
        <f>BK345</f>
        <v>-8.6505190311418678E-2</v>
      </c>
      <c r="BO345" s="227"/>
      <c r="BP345" s="227"/>
    </row>
    <row r="346" spans="1:70" ht="15.9" customHeight="1" thickTop="1">
      <c r="A346" s="8" t="s">
        <v>155</v>
      </c>
      <c r="B346" s="22"/>
      <c r="C346" s="8" t="s">
        <v>166</v>
      </c>
      <c r="D346" s="23" t="s">
        <v>166</v>
      </c>
      <c r="E346" s="8" t="s">
        <v>39</v>
      </c>
      <c r="F346" s="188">
        <f>[1]AcreSummary!M103</f>
        <v>0.88792424792291647</v>
      </c>
      <c r="G346" s="25"/>
      <c r="H346" s="117"/>
      <c r="I346" s="57">
        <f>[1]Native!E101</f>
        <v>8.5299999999999994</v>
      </c>
      <c r="J346" s="58">
        <f>[1]Native!F101</f>
        <v>8.4600000000000009</v>
      </c>
      <c r="K346" s="80">
        <f>[1]Native!G101</f>
        <v>8.68</v>
      </c>
      <c r="L346" s="68">
        <f>[1]Native!H101</f>
        <v>8.75</v>
      </c>
      <c r="M346" s="58">
        <f>[1]Native!I101</f>
        <v>9</v>
      </c>
      <c r="N346" s="81">
        <f>[1]Native!J101</f>
        <v>9.2200000000000006</v>
      </c>
      <c r="O346" s="62">
        <v>9.1999999999999993</v>
      </c>
      <c r="P346" s="81">
        <f>[1]Native!K101</f>
        <v>9.56</v>
      </c>
      <c r="Q346" s="82">
        <f>[1]Native!L101</f>
        <v>8.92</v>
      </c>
      <c r="R346" s="83">
        <v>8.92</v>
      </c>
      <c r="S346" s="84">
        <f>[1]Native!M101</f>
        <v>8.33</v>
      </c>
      <c r="T346" s="66">
        <f>[1]Native!N101</f>
        <v>7.63</v>
      </c>
      <c r="U346" s="67">
        <f>[1]Native!O101</f>
        <v>6.68</v>
      </c>
      <c r="V346" s="68">
        <f>[1]Native!P101</f>
        <v>2.98</v>
      </c>
      <c r="W346" s="68">
        <f>[1]Native!Q101</f>
        <v>2.99</v>
      </c>
      <c r="X346" s="68">
        <v>3.59</v>
      </c>
      <c r="Y346" s="68">
        <v>4.2699999999999996</v>
      </c>
      <c r="Z346" s="68">
        <v>5.34</v>
      </c>
      <c r="AA346" s="68">
        <v>6.52</v>
      </c>
      <c r="AB346" s="68">
        <v>7.71</v>
      </c>
      <c r="AC346" s="68">
        <v>8.99</v>
      </c>
      <c r="AD346" s="68">
        <v>10.32</v>
      </c>
      <c r="AE346" s="68">
        <v>11.36</v>
      </c>
      <c r="AF346" s="68">
        <v>11.76</v>
      </c>
      <c r="AG346" s="69">
        <v>12.25</v>
      </c>
      <c r="AH346" s="70">
        <v>12.77</v>
      </c>
      <c r="AI346" s="70">
        <v>12.67</v>
      </c>
      <c r="AJ346" s="70">
        <v>12.85</v>
      </c>
      <c r="AK346" s="8">
        <f t="shared" si="63"/>
        <v>53</v>
      </c>
      <c r="AL346" s="8">
        <f t="shared" si="64"/>
        <v>55</v>
      </c>
      <c r="AM346" s="85">
        <f t="shared" si="65"/>
        <v>55</v>
      </c>
      <c r="AN346" s="23">
        <f t="shared" si="66"/>
        <v>58</v>
      </c>
      <c r="AO346" s="85">
        <f t="shared" si="61"/>
        <v>62</v>
      </c>
      <c r="AP346" s="72">
        <f t="shared" si="62"/>
        <v>66</v>
      </c>
      <c r="AQ346" s="71">
        <f t="shared" si="55"/>
        <v>61</v>
      </c>
      <c r="AR346" s="71">
        <f t="shared" si="55"/>
        <v>61</v>
      </c>
      <c r="AS346" s="71">
        <f t="shared" si="59"/>
        <v>57</v>
      </c>
      <c r="AT346" s="71">
        <f t="shared" si="60"/>
        <v>53</v>
      </c>
      <c r="AU346" s="71">
        <f t="shared" si="57"/>
        <v>46</v>
      </c>
      <c r="AV346" s="72">
        <f t="shared" si="56"/>
        <v>20</v>
      </c>
      <c r="AW346" s="72">
        <f>ROUND(W346/VLOOKUP($C346,CapRate,13),0)</f>
        <v>20</v>
      </c>
      <c r="AX346" s="122">
        <f>IF(ROUND(X346/VLOOKUP($C346,CapRate,14),0)&gt;10,X346/VLOOKUP($C346,CapRate,14),10)</f>
        <v>23.556430446194224</v>
      </c>
      <c r="AY346" s="122">
        <f>IF(ROUND(Y346/VLOOKUP($C346,CapRate,15),0)&gt;10,Y346/VLOOKUP($C346,CapRate,15),10)</f>
        <v>27.781392322706569</v>
      </c>
      <c r="AZ346" s="122">
        <f>IF(ROUND(Z346/VLOOKUP($C346,CapRate,16),0)&gt;10,Z346/VLOOKUP($C346,CapRate,16),10)</f>
        <v>34.675324675324674</v>
      </c>
      <c r="BA346" s="122">
        <f>IF(ROUND(AA346/VLOOKUP($C346,CapRate,17),0)&gt;10,AA346/VLOOKUP($C346,CapRate,17),10)</f>
        <v>42.037395228884591</v>
      </c>
      <c r="BB346" s="122">
        <f>IF(ROUND(AB346/VLOOKUP($C346,CapRate,18),0)&gt;10,AB346/VLOOKUP($C346,CapRate,18),10)</f>
        <v>49.550128534704371</v>
      </c>
      <c r="BC346" s="122">
        <f>IF(ROUND(AC346/VLOOKUP($C346,CapRate,19),0)&gt;10,AC346/VLOOKUP($C346,CapRate,19),10)</f>
        <v>57.628205128205131</v>
      </c>
      <c r="BD346" s="122">
        <f>IF(ROUND(AD346/VLOOKUP($C346,CapRate,20),0)&gt;10,AD346/VLOOKUP($C346,CapRate,20),10)</f>
        <v>65.942492012779553</v>
      </c>
      <c r="BE346" s="122">
        <f>IF(ROUND(AE346/VLOOKUP($C346,CapRate,21),0)&gt;10,AE346/VLOOKUP($C346,CapRate,21),10)</f>
        <v>72.4952137843012</v>
      </c>
      <c r="BF346" s="122">
        <f>IF(ROUND(AF346/VLOOKUP($C346,CapRate,22),0)&gt;10,AF346/VLOOKUP($C346,CapRate,22),10)</f>
        <v>75</v>
      </c>
      <c r="BG346" s="122">
        <f>IF(ROUND(AG346/VLOOKUP($C346,CapRate,23),0)&gt;10,AG346/VLOOKUP($C346,CapRate,23),10)</f>
        <v>78.075207138304648</v>
      </c>
      <c r="BH346" s="122">
        <f>IF(ROUND(AH346/VLOOKUP($C346,CapRate,24),0)&gt;10,AH346/VLOOKUP($C346,CapRate,24),10)</f>
        <v>81.389420012746967</v>
      </c>
      <c r="BI346" s="122">
        <f>IF(ROUND(AI346/VLOOKUP($C346,CapRate,25),0)&gt;10,AI346/VLOOKUP($C346,CapRate,25),10)</f>
        <v>80.649267982176966</v>
      </c>
      <c r="BJ346" s="122">
        <f>IF(ROUND(AJ346/VLOOKUP($C346,CapRate,26),0)&gt;10,AJ346/VLOOKUP($C346,CapRate,26),10)</f>
        <v>81.743002544529261</v>
      </c>
      <c r="BK346" s="75">
        <f t="shared" si="58"/>
        <v>1.3561617975181184E-2</v>
      </c>
      <c r="BL346" s="76"/>
      <c r="BM346" s="219">
        <f>BK346</f>
        <v>1.3561617975181184E-2</v>
      </c>
      <c r="BN346" s="220"/>
      <c r="BO346" s="220"/>
      <c r="BP346" s="220"/>
    </row>
    <row r="347" spans="1:70" ht="15.9" customHeight="1">
      <c r="A347" s="8"/>
      <c r="B347" s="22"/>
      <c r="C347" s="8" t="s">
        <v>166</v>
      </c>
      <c r="D347" s="23"/>
      <c r="E347" s="8" t="s">
        <v>85</v>
      </c>
      <c r="F347" s="188">
        <f>[1]AcreSummary!L103</f>
        <v>3.7588686292573323E-2</v>
      </c>
      <c r="G347" s="25"/>
      <c r="H347" s="117"/>
      <c r="I347" s="57"/>
      <c r="J347" s="58">
        <f>[1]Tame!D70</f>
        <v>12.86</v>
      </c>
      <c r="K347" s="80">
        <f>[1]Tame!E70</f>
        <v>12.91</v>
      </c>
      <c r="L347" s="68">
        <f>[1]Tame!F70</f>
        <v>12.68</v>
      </c>
      <c r="M347" s="58">
        <f>[1]Tame!G70</f>
        <v>12.66</v>
      </c>
      <c r="N347" s="81">
        <f>[1]Tame!H70</f>
        <v>12.46</v>
      </c>
      <c r="O347" s="62">
        <v>12.39</v>
      </c>
      <c r="P347" s="81">
        <f>[1]Tame!I70</f>
        <v>12.32</v>
      </c>
      <c r="Q347" s="82">
        <f>[1]Tame!J70</f>
        <v>11.58</v>
      </c>
      <c r="R347" s="83">
        <v>11.58</v>
      </c>
      <c r="S347" s="84">
        <f>[1]Tame!K70</f>
        <v>10.69</v>
      </c>
      <c r="T347" s="66">
        <f>[1]Tame!L70</f>
        <v>9.4600000000000009</v>
      </c>
      <c r="U347" s="67">
        <f>[1]Tame!M70</f>
        <v>8.4600000000000009</v>
      </c>
      <c r="V347" s="68">
        <f>[1]Tame!N70</f>
        <v>0.78</v>
      </c>
      <c r="W347" s="68">
        <f>[1]Tame!O70</f>
        <v>0.71</v>
      </c>
      <c r="X347" s="68">
        <v>1.34</v>
      </c>
      <c r="Y347" s="68">
        <v>2.0499999999999998</v>
      </c>
      <c r="Z347" s="68">
        <v>4.22</v>
      </c>
      <c r="AA347" s="68">
        <v>6.26</v>
      </c>
      <c r="AB347" s="68">
        <v>8.07</v>
      </c>
      <c r="AC347" s="68">
        <v>9.9600000000000009</v>
      </c>
      <c r="AD347" s="68">
        <v>10.97</v>
      </c>
      <c r="AE347" s="68">
        <v>12.01</v>
      </c>
      <c r="AF347" s="68">
        <v>12.31</v>
      </c>
      <c r="AG347" s="69">
        <v>12.72</v>
      </c>
      <c r="AH347" s="70">
        <v>13.15</v>
      </c>
      <c r="AI347" s="70">
        <v>13.45</v>
      </c>
      <c r="AJ347" s="70">
        <v>14.09</v>
      </c>
      <c r="AK347" s="8">
        <f>ROUND(J347/VLOOKUP($C347,CapRate,2),0)</f>
        <v>81</v>
      </c>
      <c r="AL347" s="8">
        <f>ROUND(K347/VLOOKUP($C347,CapRate,3),0)</f>
        <v>82</v>
      </c>
      <c r="AM347" s="85">
        <f>ROUND(L347/VLOOKUP($C347,CapRate,4),0)</f>
        <v>80</v>
      </c>
      <c r="AN347" s="23">
        <f>ROUND(M347/VLOOKUP($C347,CapRate,5),0)</f>
        <v>82</v>
      </c>
      <c r="AO347" s="85">
        <f t="shared" si="61"/>
        <v>84</v>
      </c>
      <c r="AP347" s="72">
        <f t="shared" si="62"/>
        <v>85</v>
      </c>
      <c r="AQ347" s="71">
        <f t="shared" si="55"/>
        <v>80</v>
      </c>
      <c r="AR347" s="71">
        <f t="shared" si="55"/>
        <v>80</v>
      </c>
      <c r="AS347" s="71">
        <f t="shared" si="59"/>
        <v>74</v>
      </c>
      <c r="AT347" s="71">
        <f t="shared" si="60"/>
        <v>65</v>
      </c>
      <c r="AU347" s="71">
        <f t="shared" si="57"/>
        <v>58</v>
      </c>
      <c r="AV347" s="72">
        <f>IF(ROUND(V347/VLOOKUP($C347,CapRate,12),0)&gt;AV346,V347/VLOOKUP($C347,CapRate,12),AV346)</f>
        <v>20</v>
      </c>
      <c r="AW347" s="72">
        <f>IF(ROUND(W347/VLOOKUP($C347,CapRate,13),0)&gt;AW346,W347/VLOOKUP($C347,CapRate,13),AW346)</f>
        <v>20</v>
      </c>
      <c r="AX347" s="72">
        <f>IF(ROUND(X347/VLOOKUP($C347,CapRate,14),0)&gt;AX346,X347/VLOOKUP($C347,CapRate,14),AX346)</f>
        <v>23.556430446194224</v>
      </c>
      <c r="AY347" s="72">
        <f>IF(ROUND(Y347/VLOOKUP($C347,CapRate,15),0)&gt;AY346,Y347/VLOOKUP($C347,CapRate,15),AY346)</f>
        <v>27.781392322706569</v>
      </c>
      <c r="AZ347" s="72">
        <f>IF(ROUND(Z347/VLOOKUP($C347,CapRate,16),0)&gt;AZ346,Z347/VLOOKUP($C347,CapRate,16),AZ346)</f>
        <v>34.675324675324674</v>
      </c>
      <c r="BA347" s="72">
        <f>IF(ROUND(AA347/VLOOKUP($C347,CapRate,17),0)&gt;BA346,AA347/VLOOKUP($C347,CapRate,17),BA346)</f>
        <v>42.037395228884591</v>
      </c>
      <c r="BB347" s="72">
        <f>IF(ROUND(AB347/VLOOKUP($C347,CapRate,18),0)&gt;BB346,AB347/VLOOKUP($C347,CapRate,18),BB346)</f>
        <v>51.863753213367616</v>
      </c>
      <c r="BC347" s="72">
        <f>IF(ROUND(AC347/VLOOKUP($C347,CapRate,19),0)&gt;BC346,AC347/VLOOKUP($C347,CapRate,19),BC346)</f>
        <v>63.846153846153854</v>
      </c>
      <c r="BD347" s="72">
        <f>IF(ROUND(AD347/VLOOKUP($C347,CapRate,20),0)&gt;BD346,AD347/VLOOKUP($C347,CapRate,20),BD346)</f>
        <v>70.095846645367416</v>
      </c>
      <c r="BE347" s="72">
        <f>IF(ROUND(AE347/VLOOKUP($C347,CapRate,21),0)&gt;BE346,AE347/VLOOKUP($C347,CapRate,21),BE346)</f>
        <v>76.643267389917028</v>
      </c>
      <c r="BF347" s="72">
        <f>IF(ROUND(AF347/VLOOKUP($C347,CapRate,22),0)&gt;BF346,AF347/VLOOKUP($C347,CapRate,22),BF346)</f>
        <v>78.507653061224502</v>
      </c>
      <c r="BG347" s="72">
        <f>IF(ROUND(AG347/VLOOKUP($C347,CapRate,23),0)&gt;BG346,AG347/VLOOKUP($C347,CapRate,23),BG346)</f>
        <v>81.070745697896754</v>
      </c>
      <c r="BH347" s="72">
        <f>IF(ROUND(AH347/VLOOKUP($C347,CapRate,24),0)&gt;BH346,AH347/VLOOKUP($C347,CapRate,24),BH346)</f>
        <v>83.81134480560867</v>
      </c>
      <c r="BI347" s="72">
        <f>IF(ROUND(AI347/VLOOKUP($C347,CapRate,25),0)&gt;BI346,AI347/VLOOKUP($C347,CapRate,25),BI346)</f>
        <v>85.614258434118398</v>
      </c>
      <c r="BJ347" s="72">
        <f>IF(ROUND(AJ347/VLOOKUP($C347,CapRate,26),0)&gt;BJ346,AJ347/VLOOKUP($C347,CapRate,26),BJ346)</f>
        <v>89.631043256997458</v>
      </c>
      <c r="BK347" s="87">
        <f t="shared" si="58"/>
        <v>4.6917241314074376E-2</v>
      </c>
      <c r="BL347" s="76"/>
      <c r="BM347" s="77"/>
      <c r="BN347" s="77"/>
      <c r="BO347" s="77"/>
      <c r="BP347" s="77">
        <f>BK347</f>
        <v>4.6917241314074376E-2</v>
      </c>
    </row>
    <row r="348" spans="1:70" ht="15.9" customHeight="1" thickBot="1">
      <c r="A348" s="8" t="s">
        <v>155</v>
      </c>
      <c r="B348" s="22"/>
      <c r="C348" s="90" t="s">
        <v>166</v>
      </c>
      <c r="D348" s="91"/>
      <c r="E348" s="90" t="s">
        <v>40</v>
      </c>
      <c r="F348" s="190">
        <f>[1]AcreSummary!J103</f>
        <v>7.4328901792444113E-2</v>
      </c>
      <c r="G348" s="191"/>
      <c r="H348" s="94"/>
      <c r="I348" s="95">
        <f>[1]Dry!E103</f>
        <v>27.73</v>
      </c>
      <c r="J348" s="96">
        <f>[1]Dry!F103</f>
        <v>26.9</v>
      </c>
      <c r="K348" s="97">
        <f>[1]Dry!G103</f>
        <v>27.56</v>
      </c>
      <c r="L348" s="98">
        <f>[1]Dry!H103</f>
        <v>28.43</v>
      </c>
      <c r="M348" s="96">
        <f>[1]Dry!I103</f>
        <v>29.9</v>
      </c>
      <c r="N348" s="99">
        <f>[1]Dry!J103</f>
        <v>31.52</v>
      </c>
      <c r="O348" s="100">
        <v>31.36</v>
      </c>
      <c r="P348" s="99">
        <f>[1]Dry!K103</f>
        <v>32.19</v>
      </c>
      <c r="Q348" s="101">
        <f>[1]Dry!L103</f>
        <v>32.65</v>
      </c>
      <c r="R348" s="221">
        <f>Q348*0.95</f>
        <v>31.017499999999998</v>
      </c>
      <c r="S348" s="103">
        <f>[1]Dry!N103</f>
        <v>32.69</v>
      </c>
      <c r="T348" s="104">
        <f>[1]Dry!O103</f>
        <v>32.92</v>
      </c>
      <c r="U348" s="105">
        <f>[1]Dry!P103</f>
        <v>32.43</v>
      </c>
      <c r="V348" s="98">
        <f>[1]Dry!Q103</f>
        <v>30.94</v>
      </c>
      <c r="W348" s="98">
        <f>[1]Dry!R103</f>
        <v>34.42</v>
      </c>
      <c r="X348" s="98">
        <f>[1]Dry!S103</f>
        <v>37.39</v>
      </c>
      <c r="Y348" s="98">
        <f>[1]Dry!T103</f>
        <v>41.29</v>
      </c>
      <c r="Z348" s="98">
        <v>44.38</v>
      </c>
      <c r="AA348" s="98">
        <v>48.43</v>
      </c>
      <c r="AB348" s="98">
        <v>51.77</v>
      </c>
      <c r="AC348" s="98">
        <v>54.33</v>
      </c>
      <c r="AD348" s="98">
        <v>54.59</v>
      </c>
      <c r="AE348" s="98">
        <v>52.78</v>
      </c>
      <c r="AF348" s="98">
        <v>53</v>
      </c>
      <c r="AG348" s="106">
        <v>53.82</v>
      </c>
      <c r="AH348" s="107">
        <v>51.9</v>
      </c>
      <c r="AI348" s="107">
        <v>46.25</v>
      </c>
      <c r="AJ348" s="107">
        <v>42.61</v>
      </c>
      <c r="AK348" s="90">
        <f t="shared" si="63"/>
        <v>170</v>
      </c>
      <c r="AL348" s="90">
        <f t="shared" si="64"/>
        <v>175</v>
      </c>
      <c r="AM348" s="108">
        <f t="shared" si="65"/>
        <v>180</v>
      </c>
      <c r="AN348" s="91">
        <f t="shared" si="66"/>
        <v>194</v>
      </c>
      <c r="AO348" s="108">
        <f t="shared" si="61"/>
        <v>213</v>
      </c>
      <c r="AP348" s="109">
        <f t="shared" si="62"/>
        <v>222</v>
      </c>
      <c r="AQ348" s="110">
        <f t="shared" si="55"/>
        <v>225</v>
      </c>
      <c r="AR348" s="222">
        <f t="shared" si="55"/>
        <v>213</v>
      </c>
      <c r="AS348" s="110">
        <f t="shared" si="59"/>
        <v>225</v>
      </c>
      <c r="AT348" s="110">
        <f t="shared" si="60"/>
        <v>227</v>
      </c>
      <c r="AU348" s="110">
        <f t="shared" si="57"/>
        <v>223</v>
      </c>
      <c r="AV348" s="109">
        <f t="shared" si="56"/>
        <v>205</v>
      </c>
      <c r="AW348" s="109">
        <f>ROUND(W348/VLOOKUP($C348,CapRate,13),0)</f>
        <v>227</v>
      </c>
      <c r="AX348" s="72">
        <f>ROUND(X348/VLOOKUP($C348,CapRate,14),0)</f>
        <v>245</v>
      </c>
      <c r="AY348" s="72">
        <f>ROUND(Y348/VLOOKUP($C348,CapRate,15),0)</f>
        <v>269</v>
      </c>
      <c r="AZ348" s="72">
        <f>ROUND(Z348/VLOOKUP($C348,CapRate,16),0)</f>
        <v>288</v>
      </c>
      <c r="BA348" s="72">
        <f>ROUND(AA348/VLOOKUP($C348,CapRate,17),0)</f>
        <v>312</v>
      </c>
      <c r="BB348" s="72">
        <f>ROUND(AB348/VLOOKUP($C348,CapRate,18),0)</f>
        <v>333</v>
      </c>
      <c r="BC348" s="72">
        <f>ROUND(AC348/VLOOKUP($C348,CapRate,19),0)</f>
        <v>348</v>
      </c>
      <c r="BD348" s="72">
        <f>ROUND(AD348/VLOOKUP($C348,CapRate,20),0)</f>
        <v>349</v>
      </c>
      <c r="BE348" s="72">
        <f>ROUND(AE348/VLOOKUP($C348,CapRate,21),0)</f>
        <v>337</v>
      </c>
      <c r="BF348" s="72">
        <f>ROUND(AF348/VLOOKUP($C348,CapRate,22),0)</f>
        <v>338</v>
      </c>
      <c r="BG348" s="72">
        <f>ROUND(AG348/VLOOKUP($C348,CapRate,23),0)</f>
        <v>343</v>
      </c>
      <c r="BH348" s="72">
        <f>ROUND(AH348/VLOOKUP($C348,CapRate,24),0)</f>
        <v>331</v>
      </c>
      <c r="BI348" s="72">
        <f>ROUND(AI348/VLOOKUP($C348,CapRate,25),0)</f>
        <v>294</v>
      </c>
      <c r="BJ348" s="72">
        <f>ROUND(AJ348/VLOOKUP($C348,CapRate,26),0)</f>
        <v>271</v>
      </c>
      <c r="BK348" s="87">
        <f t="shared" si="58"/>
        <v>-7.8231292517006779E-2</v>
      </c>
      <c r="BL348" s="114">
        <f>((F346*BK346)+(F347*BK347)+(F348*BK348))</f>
        <v>7.9904008481057939E-3</v>
      </c>
      <c r="BM348" s="226"/>
      <c r="BN348" s="227">
        <f>BK348</f>
        <v>-7.8231292517006779E-2</v>
      </c>
      <c r="BO348" s="227"/>
      <c r="BP348" s="227"/>
    </row>
    <row r="349" spans="1:70" ht="15.9" customHeight="1" thickTop="1">
      <c r="A349" s="8" t="s">
        <v>155</v>
      </c>
      <c r="B349" s="22"/>
      <c r="C349" s="8" t="s">
        <v>167</v>
      </c>
      <c r="D349" s="23" t="s">
        <v>167</v>
      </c>
      <c r="E349" s="8" t="s">
        <v>39</v>
      </c>
      <c r="F349" s="188">
        <f>[1]AcreSummary!M104</f>
        <v>0.23338398524579232</v>
      </c>
      <c r="G349" s="25"/>
      <c r="H349" s="117"/>
      <c r="I349" s="57">
        <f>[1]Native!E102</f>
        <v>10.59</v>
      </c>
      <c r="J349" s="58">
        <f>[1]Native!F102</f>
        <v>10.84</v>
      </c>
      <c r="K349" s="80">
        <f>[1]Native!G102</f>
        <v>11.18</v>
      </c>
      <c r="L349" s="68">
        <f>[1]Native!H102</f>
        <v>11.32</v>
      </c>
      <c r="M349" s="58">
        <f>[1]Native!I102</f>
        <v>11.67</v>
      </c>
      <c r="N349" s="81">
        <f>[1]Native!J102</f>
        <v>12.03</v>
      </c>
      <c r="O349" s="62">
        <v>11.14</v>
      </c>
      <c r="P349" s="81">
        <f>[1]Native!K102</f>
        <v>12.44</v>
      </c>
      <c r="Q349" s="82">
        <f>[1]Native!L102</f>
        <v>11.84</v>
      </c>
      <c r="R349" s="83">
        <v>11.84</v>
      </c>
      <c r="S349" s="84">
        <f>[1]Native!M102</f>
        <v>11.28</v>
      </c>
      <c r="T349" s="66">
        <f>[1]Native!N102</f>
        <v>10.64</v>
      </c>
      <c r="U349" s="67">
        <f>[1]Native!O102</f>
        <v>9.66</v>
      </c>
      <c r="V349" s="68">
        <f>[1]Native!P102</f>
        <v>5.41</v>
      </c>
      <c r="W349" s="68">
        <f>[1]Native!Q102</f>
        <v>5.4</v>
      </c>
      <c r="X349" s="68">
        <v>6.48</v>
      </c>
      <c r="Y349" s="68">
        <v>7.15</v>
      </c>
      <c r="Z349" s="68">
        <v>8.2200000000000006</v>
      </c>
      <c r="AA349" s="68">
        <v>10.25</v>
      </c>
      <c r="AB349" s="68">
        <v>11.51</v>
      </c>
      <c r="AC349" s="68">
        <v>12.89</v>
      </c>
      <c r="AD349" s="68">
        <v>14.69</v>
      </c>
      <c r="AE349" s="68">
        <v>15.88</v>
      </c>
      <c r="AF349" s="68">
        <v>16.399999999999999</v>
      </c>
      <c r="AG349" s="69">
        <v>17.010000000000002</v>
      </c>
      <c r="AH349" s="70">
        <v>17.7</v>
      </c>
      <c r="AI349" s="70">
        <v>17.739999999999998</v>
      </c>
      <c r="AJ349" s="70">
        <v>18.079999999999998</v>
      </c>
      <c r="AK349" s="8">
        <f t="shared" si="63"/>
        <v>72</v>
      </c>
      <c r="AL349" s="8">
        <f t="shared" si="64"/>
        <v>74</v>
      </c>
      <c r="AM349" s="85">
        <f t="shared" si="65"/>
        <v>74</v>
      </c>
      <c r="AN349" s="23">
        <f t="shared" si="66"/>
        <v>78</v>
      </c>
      <c r="AO349" s="85">
        <f t="shared" si="61"/>
        <v>78</v>
      </c>
      <c r="AP349" s="72">
        <f t="shared" si="62"/>
        <v>88</v>
      </c>
      <c r="AQ349" s="71">
        <f t="shared" si="55"/>
        <v>84</v>
      </c>
      <c r="AR349" s="71">
        <f t="shared" si="55"/>
        <v>84</v>
      </c>
      <c r="AS349" s="71">
        <f t="shared" si="59"/>
        <v>80</v>
      </c>
      <c r="AT349" s="71">
        <f t="shared" si="60"/>
        <v>75</v>
      </c>
      <c r="AU349" s="71">
        <f t="shared" si="57"/>
        <v>68</v>
      </c>
      <c r="AV349" s="72">
        <f t="shared" si="56"/>
        <v>36</v>
      </c>
      <c r="AW349" s="72">
        <f>ROUND(W349/VLOOKUP($C349,CapRate,13),0)</f>
        <v>36</v>
      </c>
      <c r="AX349" s="122">
        <f>IF(ROUND(X349/VLOOKUP($C349,CapRate,14),0)&gt;10,X349/VLOOKUP($C349,CapRate,14),10)</f>
        <v>42.828816920026441</v>
      </c>
      <c r="AY349" s="122">
        <f>IF(ROUND(Y349/VLOOKUP($C349,CapRate,15),0)&gt;10,Y349/VLOOKUP($C349,CapRate,15),10)</f>
        <v>46.64057403783432</v>
      </c>
      <c r="AZ349" s="122">
        <f>IF(ROUND(Z349/VLOOKUP($C349,CapRate,16),0)&gt;10,Z349/VLOOKUP($C349,CapRate,16),10)</f>
        <v>53.446033810143049</v>
      </c>
      <c r="BA349" s="122">
        <f>IF(ROUND(AA349/VLOOKUP($C349,CapRate,17),0)&gt;10,AA349/VLOOKUP($C349,CapRate,17),10)</f>
        <v>66.129032258064512</v>
      </c>
      <c r="BB349" s="122">
        <f>IF(ROUND(AB349/VLOOKUP($C349,CapRate,18),0)&gt;10,AB349/VLOOKUP($C349,CapRate,18),10)</f>
        <v>73.829377806286075</v>
      </c>
      <c r="BC349" s="122">
        <f>IF(ROUND(AC349/VLOOKUP($C349,CapRate,19),0)&gt;10,AC349/VLOOKUP($C349,CapRate,19),10)</f>
        <v>82.311621966794391</v>
      </c>
      <c r="BD349" s="122">
        <f>IF(ROUND(AD349/VLOOKUP($C349,CapRate,20),0)&gt;10,AD349/VLOOKUP($C349,CapRate,20),10)</f>
        <v>93.566878980891715</v>
      </c>
      <c r="BE349" s="122">
        <f>IF(ROUND(AE349/VLOOKUP($C349,CapRate,21),0)&gt;10,AE349/VLOOKUP($C349,CapRate,21),10)</f>
        <v>100.95359186268279</v>
      </c>
      <c r="BF349" s="122">
        <f>IF(ROUND(AF349/VLOOKUP($C349,CapRate,22),0)&gt;10,AF349/VLOOKUP($C349,CapRate,22),10)</f>
        <v>104.25937698664971</v>
      </c>
      <c r="BG349" s="122">
        <f>IF(ROUND(AG349/VLOOKUP($C349,CapRate,23),0)&gt;10,AG349/VLOOKUP($C349,CapRate,23),10)</f>
        <v>108.13731722822634</v>
      </c>
      <c r="BH349" s="122">
        <f>IF(ROUND(AH349/VLOOKUP($C349,CapRate,24),0)&gt;10,AH349/VLOOKUP($C349,CapRate,24),10)</f>
        <v>112.88265306122449</v>
      </c>
      <c r="BI349" s="122">
        <f>IF(ROUND(AI349/VLOOKUP($C349,CapRate,25),0)&gt;10,AI349/VLOOKUP($C349,CapRate,25),10)</f>
        <v>113.28224776500639</v>
      </c>
      <c r="BJ349" s="122">
        <f>IF(ROUND(AJ349/VLOOKUP($C349,CapRate,26),0)&gt;10,AJ349/VLOOKUP($C349,CapRate,26),10)</f>
        <v>115.89743589743588</v>
      </c>
      <c r="BK349" s="75">
        <f t="shared" si="58"/>
        <v>2.3085595351660659E-2</v>
      </c>
      <c r="BL349" s="76"/>
      <c r="BM349" s="219">
        <f>BK349</f>
        <v>2.3085595351660659E-2</v>
      </c>
      <c r="BN349" s="220"/>
      <c r="BO349" s="220"/>
      <c r="BP349" s="220"/>
    </row>
    <row r="350" spans="1:70" ht="15.9" customHeight="1">
      <c r="A350" s="8"/>
      <c r="B350" s="22"/>
      <c r="C350" s="8" t="s">
        <v>167</v>
      </c>
      <c r="D350" s="23"/>
      <c r="E350" s="8" t="s">
        <v>85</v>
      </c>
      <c r="F350" s="188">
        <f>[1]AcreSummary!L104</f>
        <v>0.44977357093209247</v>
      </c>
      <c r="G350" s="25"/>
      <c r="H350" s="117"/>
      <c r="I350" s="57"/>
      <c r="J350" s="58">
        <f>[1]Tame!D71</f>
        <v>13.43</v>
      </c>
      <c r="K350" s="80">
        <f>[1]Tame!E71</f>
        <v>13.49</v>
      </c>
      <c r="L350" s="68">
        <f>[1]Tame!F71</f>
        <v>13.29</v>
      </c>
      <c r="M350" s="58">
        <f>[1]Tame!G71</f>
        <v>13.29</v>
      </c>
      <c r="N350" s="81">
        <f>[1]Tame!H71</f>
        <v>13.32</v>
      </c>
      <c r="O350" s="62">
        <v>13.3</v>
      </c>
      <c r="P350" s="81">
        <f>[1]Tame!I71</f>
        <v>13.38</v>
      </c>
      <c r="Q350" s="82">
        <f>[1]Tame!J71</f>
        <v>12.76</v>
      </c>
      <c r="R350" s="83">
        <v>12.76</v>
      </c>
      <c r="S350" s="84">
        <f>[1]Tame!K71</f>
        <v>12.03</v>
      </c>
      <c r="T350" s="66">
        <f>[1]Tame!L71</f>
        <v>11.08</v>
      </c>
      <c r="U350" s="67">
        <f>[1]Tame!M71</f>
        <v>10.25</v>
      </c>
      <c r="V350" s="68">
        <f>[1]Tame!N71</f>
        <v>2.14</v>
      </c>
      <c r="W350" s="68">
        <f>[1]Tame!O71</f>
        <v>1.82</v>
      </c>
      <c r="X350" s="68">
        <v>2.2000000000000002</v>
      </c>
      <c r="Y350" s="68">
        <v>2.66</v>
      </c>
      <c r="Z350" s="68">
        <v>4.58</v>
      </c>
      <c r="AA350" s="68">
        <v>6.06</v>
      </c>
      <c r="AB350" s="68">
        <v>7.87</v>
      </c>
      <c r="AC350" s="68">
        <v>0</v>
      </c>
      <c r="AD350" s="68">
        <v>10.74</v>
      </c>
      <c r="AE350" s="68">
        <v>11.82</v>
      </c>
      <c r="AF350" s="68">
        <v>12.14</v>
      </c>
      <c r="AG350" s="69">
        <v>12.54</v>
      </c>
      <c r="AH350" s="70">
        <v>12.97</v>
      </c>
      <c r="AI350" s="70">
        <v>13.26</v>
      </c>
      <c r="AJ350" s="70">
        <v>13.89</v>
      </c>
      <c r="AK350" s="8">
        <f>ROUND(J350/VLOOKUP($C350,CapRate,2),0)</f>
        <v>89</v>
      </c>
      <c r="AL350" s="8">
        <f>ROUND(K350/VLOOKUP($C350,CapRate,3),0)</f>
        <v>89</v>
      </c>
      <c r="AM350" s="85">
        <f>ROUND(L350/VLOOKUP($C350,CapRate,4),0)</f>
        <v>87</v>
      </c>
      <c r="AN350" s="23">
        <f>ROUND(M350/VLOOKUP($C350,CapRate,5),0)</f>
        <v>89</v>
      </c>
      <c r="AO350" s="85">
        <f t="shared" si="61"/>
        <v>93</v>
      </c>
      <c r="AP350" s="72">
        <f t="shared" si="62"/>
        <v>95</v>
      </c>
      <c r="AQ350" s="71">
        <f t="shared" si="55"/>
        <v>90</v>
      </c>
      <c r="AR350" s="71">
        <f t="shared" si="55"/>
        <v>90</v>
      </c>
      <c r="AS350" s="71">
        <f t="shared" si="59"/>
        <v>85</v>
      </c>
      <c r="AT350" s="71">
        <f t="shared" si="60"/>
        <v>78</v>
      </c>
      <c r="AU350" s="71">
        <f t="shared" si="57"/>
        <v>72</v>
      </c>
      <c r="AV350" s="72">
        <f>IF(ROUND(V350/VLOOKUP($C350,CapRate,12),0)&gt;AV349,V350/VLOOKUP($C350,CapRate,12),AV349)</f>
        <v>36</v>
      </c>
      <c r="AW350" s="72">
        <f>IF(ROUND(W350/VLOOKUP($C350,CapRate,13),0)&gt;AW349,W350/VLOOKUP($C350,CapRate,13),AW349)</f>
        <v>36</v>
      </c>
      <c r="AX350" s="72">
        <f>IF(ROUND(X350/VLOOKUP($C350,CapRate,14),0)&gt;AX349,X350/VLOOKUP($C350,CapRate,14),AX349)</f>
        <v>42.828816920026441</v>
      </c>
      <c r="AY350" s="72">
        <f>IF(ROUND(Y350/VLOOKUP($C350,CapRate,15),0)&gt;AY349,Y350/VLOOKUP($C350,CapRate,15),AY349)</f>
        <v>46.64057403783432</v>
      </c>
      <c r="AZ350" s="72">
        <f>IF(ROUND(Z350/VLOOKUP($C350,CapRate,16),0)&gt;AZ349,Z350/VLOOKUP($C350,CapRate,16),AZ349)</f>
        <v>53.446033810143049</v>
      </c>
      <c r="BA350" s="72">
        <f>IF(ROUND(AA350/VLOOKUP($C350,CapRate,17),0)&gt;BA349,AA350/VLOOKUP($C350,CapRate,17),BA349)</f>
        <v>66.129032258064512</v>
      </c>
      <c r="BB350" s="72">
        <f>IF(ROUND(AB350/VLOOKUP($C350,CapRate,18),0)&gt;BB349,AB350/VLOOKUP($C350,CapRate,18),BB349)</f>
        <v>73.829377806286075</v>
      </c>
      <c r="BC350" s="72">
        <f>IF(ROUND(AC350/VLOOKUP($C350,CapRate,19),0)&gt;BC349,AC350/VLOOKUP($C350,CapRate,19),BC349)</f>
        <v>82.311621966794391</v>
      </c>
      <c r="BD350" s="72">
        <f>IF(ROUND(AD350/VLOOKUP($C350,CapRate,20),0)&gt;BD349,AD350/VLOOKUP($C350,CapRate,20),BD349)</f>
        <v>93.566878980891715</v>
      </c>
      <c r="BE350" s="72">
        <f>IF(ROUND(AE350/VLOOKUP($C350,CapRate,21),0)&gt;BE349,AE350/VLOOKUP($C350,CapRate,21),BE349)</f>
        <v>100.95359186268279</v>
      </c>
      <c r="BF350" s="72">
        <f>IF(ROUND(AF350/VLOOKUP($C350,CapRate,22),0)&gt;BF349,AF350/VLOOKUP($C350,CapRate,22),BF349)</f>
        <v>104.25937698664971</v>
      </c>
      <c r="BG350" s="72">
        <f>IF(ROUND(AG350/VLOOKUP($C350,CapRate,23),0)&gt;BG349,AG350/VLOOKUP($C350,CapRate,23),BG349)</f>
        <v>108.13731722822634</v>
      </c>
      <c r="BH350" s="72">
        <f>IF(ROUND(AH350/VLOOKUP($C350,CapRate,24),0)&gt;BH349,AH350/VLOOKUP($C350,CapRate,24),BH349)</f>
        <v>112.88265306122449</v>
      </c>
      <c r="BI350" s="72">
        <f>IF(ROUND(AI350/VLOOKUP($C350,CapRate,25),0)&gt;BI349,AI350/VLOOKUP($C350,CapRate,25),BI349)</f>
        <v>113.28224776500639</v>
      </c>
      <c r="BJ350" s="72">
        <f>IF(ROUND(AJ350/VLOOKUP($C350,CapRate,26),0)&gt;BJ349,AJ350/VLOOKUP($C350,CapRate,26),BJ349)</f>
        <v>115.89743589743588</v>
      </c>
      <c r="BK350" s="87">
        <f t="shared" si="58"/>
        <v>2.3085595351660659E-2</v>
      </c>
      <c r="BL350" s="76"/>
      <c r="BM350" s="77"/>
      <c r="BN350" s="77"/>
      <c r="BO350" s="77"/>
      <c r="BP350" s="77">
        <f>BK350</f>
        <v>2.3085595351660659E-2</v>
      </c>
    </row>
    <row r="351" spans="1:70" ht="15.9" customHeight="1" thickBot="1">
      <c r="A351" s="8" t="s">
        <v>155</v>
      </c>
      <c r="B351" s="22"/>
      <c r="C351" s="90" t="s">
        <v>167</v>
      </c>
      <c r="D351" s="91"/>
      <c r="E351" s="90" t="s">
        <v>40</v>
      </c>
      <c r="F351" s="190">
        <f>[1]AcreSummary!J104</f>
        <v>0.31684244382211513</v>
      </c>
      <c r="G351" s="191"/>
      <c r="H351" s="94"/>
      <c r="I351" s="95">
        <f>[1]Dry!E104</f>
        <v>21.3</v>
      </c>
      <c r="J351" s="96">
        <f>[1]Dry!F104</f>
        <v>19.989999999999998</v>
      </c>
      <c r="K351" s="97">
        <f>[1]Dry!G104</f>
        <v>20.23</v>
      </c>
      <c r="L351" s="98">
        <f>[1]Dry!H104</f>
        <v>20.79</v>
      </c>
      <c r="M351" s="96">
        <f>[1]Dry!I104</f>
        <v>21.87</v>
      </c>
      <c r="N351" s="99">
        <f>[1]Dry!J104</f>
        <v>22.64</v>
      </c>
      <c r="O351" s="100">
        <v>24.19</v>
      </c>
      <c r="P351" s="99">
        <f>[1]Dry!K104</f>
        <v>23.26</v>
      </c>
      <c r="Q351" s="101">
        <f>[1]Dry!L104</f>
        <v>24.06</v>
      </c>
      <c r="R351" s="221">
        <f>Q351*0.95</f>
        <v>22.856999999999999</v>
      </c>
      <c r="S351" s="103">
        <f>[1]Dry!N104</f>
        <v>24.12</v>
      </c>
      <c r="T351" s="104">
        <f>[1]Dry!O104</f>
        <v>24.22</v>
      </c>
      <c r="U351" s="105">
        <f>[1]Dry!P104</f>
        <v>23.54</v>
      </c>
      <c r="V351" s="98">
        <f>[1]Dry!Q104</f>
        <v>20.43</v>
      </c>
      <c r="W351" s="98">
        <f>[1]Dry!R104</f>
        <v>22.29</v>
      </c>
      <c r="X351" s="98">
        <f>[1]Dry!S104</f>
        <v>23.77</v>
      </c>
      <c r="Y351" s="98">
        <f>[1]Dry!T104</f>
        <v>26.03</v>
      </c>
      <c r="Z351" s="98">
        <v>28.73</v>
      </c>
      <c r="AA351" s="98">
        <v>33.14</v>
      </c>
      <c r="AB351" s="98">
        <v>36.81</v>
      </c>
      <c r="AC351" s="98">
        <v>40.06</v>
      </c>
      <c r="AD351" s="98">
        <v>41.57</v>
      </c>
      <c r="AE351" s="98">
        <v>41.97</v>
      </c>
      <c r="AF351" s="98">
        <v>43.57</v>
      </c>
      <c r="AG351" s="106">
        <v>44.62</v>
      </c>
      <c r="AH351" s="107">
        <v>43.54</v>
      </c>
      <c r="AI351" s="107">
        <v>38.880000000000003</v>
      </c>
      <c r="AJ351" s="107">
        <v>35.270000000000003</v>
      </c>
      <c r="AK351" s="90">
        <f t="shared" si="63"/>
        <v>132</v>
      </c>
      <c r="AL351" s="90">
        <f t="shared" si="64"/>
        <v>134</v>
      </c>
      <c r="AM351" s="108">
        <f t="shared" si="65"/>
        <v>136</v>
      </c>
      <c r="AN351" s="91">
        <f t="shared" si="66"/>
        <v>147</v>
      </c>
      <c r="AO351" s="108">
        <f t="shared" si="61"/>
        <v>169</v>
      </c>
      <c r="AP351" s="109">
        <f t="shared" si="62"/>
        <v>165</v>
      </c>
      <c r="AQ351" s="110">
        <f t="shared" si="55"/>
        <v>170</v>
      </c>
      <c r="AR351" s="222">
        <f t="shared" si="55"/>
        <v>161</v>
      </c>
      <c r="AS351" s="110">
        <f t="shared" si="59"/>
        <v>170</v>
      </c>
      <c r="AT351" s="110">
        <f t="shared" si="60"/>
        <v>170</v>
      </c>
      <c r="AU351" s="110">
        <f t="shared" si="57"/>
        <v>165</v>
      </c>
      <c r="AV351" s="109">
        <f t="shared" si="56"/>
        <v>137</v>
      </c>
      <c r="AW351" s="109">
        <f>ROUND(W351/VLOOKUP($C351,CapRate,13),0)</f>
        <v>148</v>
      </c>
      <c r="AX351" s="72">
        <f>ROUND(X351/VLOOKUP($C351,CapRate,14),0)</f>
        <v>157</v>
      </c>
      <c r="AY351" s="72">
        <f>ROUND(Y351/VLOOKUP($C351,CapRate,15),0)</f>
        <v>170</v>
      </c>
      <c r="AZ351" s="72">
        <f>ROUND(Z351/VLOOKUP($C351,CapRate,16),0)</f>
        <v>187</v>
      </c>
      <c r="BA351" s="72">
        <f>ROUND(AA351/VLOOKUP($C351,CapRate,17),0)</f>
        <v>214</v>
      </c>
      <c r="BB351" s="72">
        <f>ROUND(AB351/VLOOKUP($C351,CapRate,18),0)</f>
        <v>236</v>
      </c>
      <c r="BC351" s="72">
        <f>ROUND(AC351/VLOOKUP($C351,CapRate,19),0)</f>
        <v>256</v>
      </c>
      <c r="BD351" s="72">
        <f>ROUND(AD351/VLOOKUP($C351,CapRate,20),0)</f>
        <v>265</v>
      </c>
      <c r="BE351" s="72">
        <f>ROUND(AE351/VLOOKUP($C351,CapRate,21),0)</f>
        <v>267</v>
      </c>
      <c r="BF351" s="72">
        <f>ROUND(AF351/VLOOKUP($C351,CapRate,22),0)</f>
        <v>277</v>
      </c>
      <c r="BG351" s="72">
        <f>ROUND(AG351/VLOOKUP($C351,CapRate,23),0)</f>
        <v>284</v>
      </c>
      <c r="BH351" s="72">
        <f>ROUND(AH351/VLOOKUP($C351,CapRate,24),0)</f>
        <v>278</v>
      </c>
      <c r="BI351" s="72">
        <f>ROUND(AI351/VLOOKUP($C351,CapRate,25),0)</f>
        <v>248</v>
      </c>
      <c r="BJ351" s="72">
        <f>ROUND(AJ351/VLOOKUP($C351,CapRate,26),0)</f>
        <v>226</v>
      </c>
      <c r="BK351" s="87">
        <f t="shared" si="58"/>
        <v>-8.8709677419354871E-2</v>
      </c>
      <c r="BL351" s="114">
        <f>((F349*BK349)+(F350*BK350)+(F351*BK351))</f>
        <v>-1.2335892080867869E-2</v>
      </c>
      <c r="BM351" s="226"/>
      <c r="BN351" s="227">
        <f>BK351</f>
        <v>-8.8709677419354871E-2</v>
      </c>
      <c r="BO351" s="227"/>
      <c r="BP351" s="227"/>
    </row>
    <row r="352" spans="1:70" ht="15.9" customHeight="1" thickTop="1">
      <c r="A352" s="8" t="s">
        <v>155</v>
      </c>
      <c r="B352" s="22"/>
      <c r="C352" s="8" t="s">
        <v>168</v>
      </c>
      <c r="D352" s="23" t="s">
        <v>168</v>
      </c>
      <c r="E352" s="8" t="s">
        <v>39</v>
      </c>
      <c r="F352" s="188">
        <f>[1]AcreSummary!M105</f>
        <v>0.55534817850375051</v>
      </c>
      <c r="G352" s="25"/>
      <c r="H352" s="117"/>
      <c r="I352" s="57">
        <f>[1]Native!E103</f>
        <v>9.6300000000000008</v>
      </c>
      <c r="J352" s="58">
        <f>[1]Native!F103</f>
        <v>9.43</v>
      </c>
      <c r="K352" s="80">
        <f>[1]Native!G103</f>
        <v>9.65</v>
      </c>
      <c r="L352" s="68">
        <f>[1]Native!H103</f>
        <v>9.7899999999999991</v>
      </c>
      <c r="M352" s="58">
        <f>[1]Native!I103</f>
        <v>10.119999999999999</v>
      </c>
      <c r="N352" s="81">
        <f>[1]Native!J103</f>
        <v>10.44</v>
      </c>
      <c r="O352" s="62">
        <v>9.4700000000000006</v>
      </c>
      <c r="P352" s="81">
        <f>[1]Native!K103</f>
        <v>10.85</v>
      </c>
      <c r="Q352" s="82">
        <f>[1]Native!L103</f>
        <v>10.27</v>
      </c>
      <c r="R352" s="83">
        <v>10.27</v>
      </c>
      <c r="S352" s="84">
        <f>[1]Native!M103</f>
        <v>9.74</v>
      </c>
      <c r="T352" s="66">
        <f>[1]Native!N103</f>
        <v>9.11</v>
      </c>
      <c r="U352" s="67">
        <f>[1]Native!O103</f>
        <v>8.24</v>
      </c>
      <c r="V352" s="68">
        <f>[1]Native!P103</f>
        <v>5</v>
      </c>
      <c r="W352" s="68">
        <f>[1]Native!Q103</f>
        <v>5.14</v>
      </c>
      <c r="X352" s="68">
        <v>5.86</v>
      </c>
      <c r="Y352" s="68">
        <v>6.68</v>
      </c>
      <c r="Z352" s="68">
        <v>7.89</v>
      </c>
      <c r="AA352" s="68">
        <v>9.36</v>
      </c>
      <c r="AB352" s="68">
        <v>10.61</v>
      </c>
      <c r="AC352" s="68">
        <v>11.96</v>
      </c>
      <c r="AD352" s="68">
        <v>13.41</v>
      </c>
      <c r="AE352" s="68">
        <v>14.53</v>
      </c>
      <c r="AF352" s="68">
        <v>14.93</v>
      </c>
      <c r="AG352" s="69">
        <v>15.42</v>
      </c>
      <c r="AH352" s="70">
        <v>16.010000000000002</v>
      </c>
      <c r="AI352" s="70">
        <v>15.96</v>
      </c>
      <c r="AJ352" s="70">
        <v>16.2</v>
      </c>
      <c r="AK352" s="8">
        <f t="shared" si="63"/>
        <v>61</v>
      </c>
      <c r="AL352" s="8">
        <f t="shared" si="64"/>
        <v>62</v>
      </c>
      <c r="AM352" s="85">
        <f t="shared" si="65"/>
        <v>63</v>
      </c>
      <c r="AN352" s="23">
        <f t="shared" si="66"/>
        <v>66</v>
      </c>
      <c r="AO352" s="85">
        <f t="shared" si="61"/>
        <v>64</v>
      </c>
      <c r="AP352" s="72">
        <f t="shared" si="62"/>
        <v>75</v>
      </c>
      <c r="AQ352" s="71">
        <f t="shared" si="55"/>
        <v>70</v>
      </c>
      <c r="AR352" s="71">
        <f t="shared" si="55"/>
        <v>70</v>
      </c>
      <c r="AS352" s="71">
        <f t="shared" si="59"/>
        <v>67</v>
      </c>
      <c r="AT352" s="71">
        <f t="shared" si="60"/>
        <v>62</v>
      </c>
      <c r="AU352" s="71">
        <f t="shared" si="57"/>
        <v>56</v>
      </c>
      <c r="AV352" s="72">
        <f t="shared" si="56"/>
        <v>33</v>
      </c>
      <c r="AW352" s="72">
        <f>ROUND(W352/VLOOKUP($C352,CapRate,13),0)</f>
        <v>34</v>
      </c>
      <c r="AX352" s="122">
        <f>IF(ROUND(X352/VLOOKUP($C352,CapRate,14),0)&gt;10,X352/VLOOKUP($C352,CapRate,14),10)</f>
        <v>39.223560910307896</v>
      </c>
      <c r="AY352" s="122">
        <f>IF(ROUND(Y352/VLOOKUP($C352,CapRate,15),0)&gt;10,Y352/VLOOKUP($C352,CapRate,15),10)</f>
        <v>44.682274247491641</v>
      </c>
      <c r="AZ352" s="122">
        <f>IF(ROUND(Z352/VLOOKUP($C352,CapRate,16),0)&gt;10,Z352/VLOOKUP($C352,CapRate,16),10)</f>
        <v>52.740641711229941</v>
      </c>
      <c r="BA352" s="122">
        <f>IF(ROUND(AA352/VLOOKUP($C352,CapRate,17),0)&gt;10,AA352/VLOOKUP($C352,CapRate,17),10)</f>
        <v>62.316910785619172</v>
      </c>
      <c r="BB352" s="122">
        <f>IF(ROUND(AB352/VLOOKUP($C352,CapRate,18),0)&gt;10,AB352/VLOOKUP($C352,CapRate,18),10)</f>
        <v>70.733333333333334</v>
      </c>
      <c r="BC352" s="122">
        <f>IF(ROUND(AC352/VLOOKUP($C352,CapRate,19),0)&gt;10,AC352/VLOOKUP($C352,CapRate,19),10)</f>
        <v>79.415670650730405</v>
      </c>
      <c r="BD352" s="122">
        <f>IF(ROUND(AD352/VLOOKUP($C352,CapRate,20),0)&gt;10,AD352/VLOOKUP($C352,CapRate,20),10)</f>
        <v>88.866799204771368</v>
      </c>
      <c r="BE352" s="122">
        <f>IF(ROUND(AE352/VLOOKUP($C352,CapRate,21),0)&gt;10,AE352/VLOOKUP($C352,CapRate,21),10)</f>
        <v>95.970937912813724</v>
      </c>
      <c r="BF352" s="122">
        <f>IF(ROUND(AF352/VLOOKUP($C352,CapRate,22),0)&gt;10,AF352/VLOOKUP($C352,CapRate,22),10)</f>
        <v>98.094612352168198</v>
      </c>
      <c r="BG352" s="122">
        <f>IF(ROUND(AG352/VLOOKUP($C352,CapRate,23),0)&gt;10,AG352/VLOOKUP($C352,CapRate,23),10)</f>
        <v>100.78431372549019</v>
      </c>
      <c r="BH352" s="122">
        <f>IF(ROUND(AH352/VLOOKUP($C352,CapRate,24),0)&gt;10,AH352/VLOOKUP($C352,CapRate,24),10)</f>
        <v>104.23177083333336</v>
      </c>
      <c r="BI352" s="122">
        <f>IF(ROUND(AI352/VLOOKUP($C352,CapRate,25),0)&gt;10,AI352/VLOOKUP($C352,CapRate,25),10)</f>
        <v>103.56911096690462</v>
      </c>
      <c r="BJ352" s="122">
        <f>IF(ROUND(AJ352/VLOOKUP($C352,CapRate,26),0)&gt;10,AJ352/VLOOKUP($C352,CapRate,26),10)</f>
        <v>104.85436893203884</v>
      </c>
      <c r="BK352" s="75">
        <f t="shared" si="58"/>
        <v>1.2409664939046605E-2</v>
      </c>
      <c r="BL352" s="76"/>
      <c r="BM352" s="219">
        <f>BK352</f>
        <v>1.2409664939046605E-2</v>
      </c>
      <c r="BN352" s="220"/>
      <c r="BO352" s="220"/>
      <c r="BP352" s="220"/>
    </row>
    <row r="353" spans="1:70" ht="15.9" customHeight="1">
      <c r="A353" s="8"/>
      <c r="B353" s="22"/>
      <c r="C353" s="8" t="s">
        <v>168</v>
      </c>
      <c r="D353" s="23"/>
      <c r="E353" s="8" t="s">
        <v>85</v>
      </c>
      <c r="F353" s="188">
        <f>[1]AcreSummary!L105</f>
        <v>0.17621648191887762</v>
      </c>
      <c r="G353" s="25"/>
      <c r="H353" s="117"/>
      <c r="I353" s="57"/>
      <c r="J353" s="58">
        <f>[1]Tame!D72</f>
        <v>12.25</v>
      </c>
      <c r="K353" s="80">
        <f>[1]Tame!E72</f>
        <v>12.3</v>
      </c>
      <c r="L353" s="68">
        <f>[1]Tame!F72</f>
        <v>12.1</v>
      </c>
      <c r="M353" s="58">
        <f>[1]Tame!G72</f>
        <v>12.08</v>
      </c>
      <c r="N353" s="81">
        <f>[1]Tame!H72</f>
        <v>12.16</v>
      </c>
      <c r="O353" s="62">
        <v>12.14</v>
      </c>
      <c r="P353" s="81">
        <f>[1]Tame!I72</f>
        <v>12.29</v>
      </c>
      <c r="Q353" s="82">
        <f>[1]Tame!J72</f>
        <v>11.72</v>
      </c>
      <c r="R353" s="83">
        <v>11.72</v>
      </c>
      <c r="S353" s="84">
        <f>[1]Tame!K72</f>
        <v>11.06</v>
      </c>
      <c r="T353" s="66">
        <f>[1]Tame!L72</f>
        <v>10.220000000000001</v>
      </c>
      <c r="U353" s="67">
        <f>[1]Tame!M72</f>
        <v>9.4600000000000009</v>
      </c>
      <c r="V353" s="68">
        <f>[1]Tame!N72</f>
        <v>1.84</v>
      </c>
      <c r="W353" s="68">
        <f>[1]Tame!O72</f>
        <v>1.65</v>
      </c>
      <c r="X353" s="68">
        <v>2.17</v>
      </c>
      <c r="Y353" s="68">
        <v>2.77</v>
      </c>
      <c r="Z353" s="68">
        <v>4.83</v>
      </c>
      <c r="AA353" s="68">
        <v>6.66</v>
      </c>
      <c r="AB353" s="68">
        <v>8.4700000000000006</v>
      </c>
      <c r="AC353" s="68">
        <v>0</v>
      </c>
      <c r="AD353" s="68">
        <v>11.36</v>
      </c>
      <c r="AE353" s="68">
        <v>12.42</v>
      </c>
      <c r="AF353" s="68">
        <v>12.78</v>
      </c>
      <c r="AG353" s="69">
        <v>13.17</v>
      </c>
      <c r="AH353" s="70">
        <v>13.61</v>
      </c>
      <c r="AI353" s="70">
        <v>13.91</v>
      </c>
      <c r="AJ353" s="70">
        <v>14.57</v>
      </c>
      <c r="AK353" s="8">
        <f>ROUND(J353/VLOOKUP($C353,CapRate,2),0)</f>
        <v>79</v>
      </c>
      <c r="AL353" s="8">
        <f>ROUND(K353/VLOOKUP($C353,CapRate,3),0)</f>
        <v>79</v>
      </c>
      <c r="AM353" s="85">
        <f>ROUND(L353/VLOOKUP($C353,CapRate,4),0)</f>
        <v>77</v>
      </c>
      <c r="AN353" s="23">
        <f>ROUND(M353/VLOOKUP($C353,CapRate,5),0)</f>
        <v>79</v>
      </c>
      <c r="AO353" s="85">
        <f t="shared" si="61"/>
        <v>83</v>
      </c>
      <c r="AP353" s="72">
        <f t="shared" si="62"/>
        <v>85</v>
      </c>
      <c r="AQ353" s="71">
        <f t="shared" si="55"/>
        <v>80</v>
      </c>
      <c r="AR353" s="71">
        <f t="shared" si="55"/>
        <v>80</v>
      </c>
      <c r="AS353" s="71">
        <f t="shared" si="59"/>
        <v>76</v>
      </c>
      <c r="AT353" s="71">
        <f t="shared" si="60"/>
        <v>70</v>
      </c>
      <c r="AU353" s="71">
        <f t="shared" si="57"/>
        <v>64</v>
      </c>
      <c r="AV353" s="72">
        <f>IF(ROUND(V353/VLOOKUP($C353,CapRate,12),0)&gt;AV352,V353/VLOOKUP($C353,CapRate,12),AV352)</f>
        <v>33</v>
      </c>
      <c r="AW353" s="72">
        <f>IF(ROUND(W353/VLOOKUP($C353,CapRate,13),0)&gt;AW352,W353/VLOOKUP($C353,CapRate,13),AW352)</f>
        <v>34</v>
      </c>
      <c r="AX353" s="72">
        <f>IF(ROUND(X353/VLOOKUP($C353,CapRate,14),0)&gt;AX352,X353/VLOOKUP($C353,CapRate,14),AX352)</f>
        <v>39.223560910307896</v>
      </c>
      <c r="AY353" s="72">
        <f>IF(ROUND(Y353/VLOOKUP($C353,CapRate,15),0)&gt;AY352,Y353/VLOOKUP($C353,CapRate,15),AY352)</f>
        <v>44.682274247491641</v>
      </c>
      <c r="AZ353" s="72">
        <f>IF(ROUND(Z353/VLOOKUP($C353,CapRate,16),0)&gt;AZ352,Z353/VLOOKUP($C353,CapRate,16),AZ352)</f>
        <v>52.740641711229941</v>
      </c>
      <c r="BA353" s="72">
        <f>IF(ROUND(AA353/VLOOKUP($C353,CapRate,17),0)&gt;BA352,AA353/VLOOKUP($C353,CapRate,17),BA352)</f>
        <v>62.316910785619172</v>
      </c>
      <c r="BB353" s="72">
        <f>IF(ROUND(AB353/VLOOKUP($C353,CapRate,18),0)&gt;BB352,AB353/VLOOKUP($C353,CapRate,18),BB352)</f>
        <v>70.733333333333334</v>
      </c>
      <c r="BC353" s="72">
        <f>IF(ROUND(AC353/VLOOKUP($C353,CapRate,19),0)&gt;BC352,AC353/VLOOKUP($C353,CapRate,19),BC352)</f>
        <v>79.415670650730405</v>
      </c>
      <c r="BD353" s="72">
        <f>IF(ROUND(AD353/VLOOKUP($C353,CapRate,20),0)&gt;BD352,AD353/VLOOKUP($C353,CapRate,20),BD352)</f>
        <v>88.866799204771368</v>
      </c>
      <c r="BE353" s="72">
        <f>IF(ROUND(AE353/VLOOKUP($C353,CapRate,21),0)&gt;BE352,AE353/VLOOKUP($C353,CapRate,21),BE352)</f>
        <v>95.970937912813724</v>
      </c>
      <c r="BF353" s="72">
        <f>IF(ROUND(AF353/VLOOKUP($C353,CapRate,22),0)&gt;BF352,AF353/VLOOKUP($C353,CapRate,22),BF352)</f>
        <v>98.094612352168198</v>
      </c>
      <c r="BG353" s="72">
        <f>IF(ROUND(AG353/VLOOKUP($C353,CapRate,23),0)&gt;BG352,AG353/VLOOKUP($C353,CapRate,23),BG352)</f>
        <v>100.78431372549019</v>
      </c>
      <c r="BH353" s="72">
        <f>IF(ROUND(AH353/VLOOKUP($C353,CapRate,24),0)&gt;BH352,AH353/VLOOKUP($C353,CapRate,24),BH352)</f>
        <v>104.23177083333336</v>
      </c>
      <c r="BI353" s="72">
        <f>IF(ROUND(AI353/VLOOKUP($C353,CapRate,25),0)&gt;BI352,AI353/VLOOKUP($C353,CapRate,25),BI352)</f>
        <v>103.56911096690462</v>
      </c>
      <c r="BJ353" s="72">
        <f>IF(ROUND(AJ353/VLOOKUP($C353,CapRate,26),0)&gt;BJ352,AJ353/VLOOKUP($C353,CapRate,26),BJ352)</f>
        <v>104.85436893203884</v>
      </c>
      <c r="BK353" s="87">
        <f t="shared" si="58"/>
        <v>1.2409664939046605E-2</v>
      </c>
      <c r="BL353" s="76"/>
      <c r="BM353" s="77"/>
      <c r="BN353" s="77"/>
      <c r="BO353" s="77"/>
      <c r="BP353" s="77">
        <f>BK353</f>
        <v>1.2409664939046605E-2</v>
      </c>
    </row>
    <row r="354" spans="1:70" ht="15.9" customHeight="1" thickBot="1">
      <c r="A354" s="8" t="s">
        <v>155</v>
      </c>
      <c r="B354" s="22"/>
      <c r="C354" s="90" t="s">
        <v>168</v>
      </c>
      <c r="D354" s="91"/>
      <c r="E354" s="90" t="s">
        <v>40</v>
      </c>
      <c r="F354" s="190">
        <f>[1]AcreSummary!J105</f>
        <v>0.26129808909612995</v>
      </c>
      <c r="G354" s="191"/>
      <c r="H354" s="94"/>
      <c r="I354" s="95">
        <f>[1]Dry!E105</f>
        <v>20.079999999999998</v>
      </c>
      <c r="J354" s="96">
        <f>[1]Dry!F105</f>
        <v>19.760000000000002</v>
      </c>
      <c r="K354" s="97">
        <f>[1]Dry!G105</f>
        <v>19.899999999999999</v>
      </c>
      <c r="L354" s="98">
        <f>[1]Dry!H105</f>
        <v>20.32</v>
      </c>
      <c r="M354" s="96">
        <f>[1]Dry!I105</f>
        <v>21.17</v>
      </c>
      <c r="N354" s="99">
        <f>[1]Dry!J105</f>
        <v>21.94</v>
      </c>
      <c r="O354" s="100">
        <v>21.52</v>
      </c>
      <c r="P354" s="99">
        <f>[1]Dry!K105</f>
        <v>22.4</v>
      </c>
      <c r="Q354" s="101">
        <f>[1]Dry!L105</f>
        <v>22.83</v>
      </c>
      <c r="R354" s="221">
        <f>Q354*0.95</f>
        <v>21.688499999999998</v>
      </c>
      <c r="S354" s="103">
        <f>[1]Dry!N105</f>
        <v>22.36</v>
      </c>
      <c r="T354" s="104">
        <f>[1]Dry!O105</f>
        <v>22.08</v>
      </c>
      <c r="U354" s="105">
        <f>[1]Dry!P105</f>
        <v>21.35</v>
      </c>
      <c r="V354" s="98">
        <f>[1]Dry!Q105</f>
        <v>18.02</v>
      </c>
      <c r="W354" s="98">
        <f>[1]Dry!R105</f>
        <v>20.96</v>
      </c>
      <c r="X354" s="98">
        <f>[1]Dry!S105</f>
        <v>23.37</v>
      </c>
      <c r="Y354" s="98">
        <f>[1]Dry!T105</f>
        <v>26.48</v>
      </c>
      <c r="Z354" s="98">
        <v>30.1</v>
      </c>
      <c r="AA354" s="98">
        <v>35.619999999999997</v>
      </c>
      <c r="AB354" s="98">
        <v>39.82</v>
      </c>
      <c r="AC354" s="98">
        <v>43.25</v>
      </c>
      <c r="AD354" s="98">
        <v>44.27</v>
      </c>
      <c r="AE354" s="98">
        <v>44.08</v>
      </c>
      <c r="AF354" s="98">
        <v>46.06</v>
      </c>
      <c r="AG354" s="106">
        <v>46.38</v>
      </c>
      <c r="AH354" s="107">
        <v>44.56</v>
      </c>
      <c r="AI354" s="107">
        <v>39.57</v>
      </c>
      <c r="AJ354" s="107">
        <v>35.659999999999997</v>
      </c>
      <c r="AK354" s="90">
        <f t="shared" si="63"/>
        <v>127</v>
      </c>
      <c r="AL354" s="90">
        <f t="shared" si="64"/>
        <v>128</v>
      </c>
      <c r="AM354" s="108">
        <f t="shared" si="65"/>
        <v>130</v>
      </c>
      <c r="AN354" s="91">
        <f t="shared" si="66"/>
        <v>138</v>
      </c>
      <c r="AO354" s="108">
        <f t="shared" si="61"/>
        <v>146</v>
      </c>
      <c r="AP354" s="109">
        <f t="shared" si="62"/>
        <v>154</v>
      </c>
      <c r="AQ354" s="110">
        <f t="shared" ref="AQ354:AR363" si="67">ROUND(Q354/VLOOKUP($C354,CapRate,8),0)</f>
        <v>157</v>
      </c>
      <c r="AR354" s="222">
        <f t="shared" si="67"/>
        <v>149</v>
      </c>
      <c r="AS354" s="110">
        <f t="shared" si="59"/>
        <v>153</v>
      </c>
      <c r="AT354" s="110">
        <f t="shared" si="60"/>
        <v>151</v>
      </c>
      <c r="AU354" s="110">
        <f t="shared" si="57"/>
        <v>145</v>
      </c>
      <c r="AV354" s="109">
        <f t="shared" ref="AV354:AV363" si="68">ROUND(V354/VLOOKUP($C354,CapRate,12),0)</f>
        <v>121</v>
      </c>
      <c r="AW354" s="109">
        <f>ROUND(W354/VLOOKUP($C354,CapRate,13),0)</f>
        <v>140</v>
      </c>
      <c r="AX354" s="72">
        <f>ROUND(X354/VLOOKUP($C354,CapRate,14),0)</f>
        <v>156</v>
      </c>
      <c r="AY354" s="72">
        <f>ROUND(Y354/VLOOKUP($C354,CapRate,15),0)</f>
        <v>177</v>
      </c>
      <c r="AZ354" s="72">
        <f>ROUND(Z354/VLOOKUP($C354,CapRate,16),0)</f>
        <v>201</v>
      </c>
      <c r="BA354" s="72">
        <f>ROUND(AA354/VLOOKUP($C354,CapRate,17),0)</f>
        <v>237</v>
      </c>
      <c r="BB354" s="72">
        <f>ROUND(AB354/VLOOKUP($C354,CapRate,18),0)</f>
        <v>265</v>
      </c>
      <c r="BC354" s="72">
        <f>ROUND(AC354/VLOOKUP($C354,CapRate,19),0)</f>
        <v>287</v>
      </c>
      <c r="BD354" s="72">
        <f>ROUND(AD354/VLOOKUP($C354,CapRate,20),0)</f>
        <v>293</v>
      </c>
      <c r="BE354" s="72">
        <f>ROUND(AE354/VLOOKUP($C354,CapRate,21),0)</f>
        <v>291</v>
      </c>
      <c r="BF354" s="72">
        <f>ROUND(AF354/VLOOKUP($C354,CapRate,22),0)</f>
        <v>303</v>
      </c>
      <c r="BG354" s="72">
        <f>ROUND(AG354/VLOOKUP($C354,CapRate,23),0)</f>
        <v>303</v>
      </c>
      <c r="BH354" s="72">
        <f>ROUND(AH354/VLOOKUP($C354,CapRate,24),0)</f>
        <v>290</v>
      </c>
      <c r="BI354" s="72">
        <f>ROUND(AI354/VLOOKUP($C354,CapRate,25),0)</f>
        <v>257</v>
      </c>
      <c r="BJ354" s="72">
        <f>ROUND(AJ354/VLOOKUP($C354,CapRate,26),0)</f>
        <v>231</v>
      </c>
      <c r="BK354" s="87">
        <f t="shared" si="58"/>
        <v>-0.10116731517509725</v>
      </c>
      <c r="BL354" s="114">
        <f>((F352*BK352)+(F353*BK353)+(F354*BK354))</f>
        <v>-1.7356353817146595E-2</v>
      </c>
      <c r="BM354" s="226"/>
      <c r="BN354" s="227">
        <f>BK354</f>
        <v>-0.10116731517509725</v>
      </c>
      <c r="BO354" s="227"/>
      <c r="BP354" s="227"/>
    </row>
    <row r="355" spans="1:70" ht="15.9" customHeight="1" thickTop="1">
      <c r="A355" s="8" t="s">
        <v>155</v>
      </c>
      <c r="B355" s="22"/>
      <c r="C355" s="8" t="s">
        <v>169</v>
      </c>
      <c r="D355" s="23" t="s">
        <v>169</v>
      </c>
      <c r="E355" s="8" t="s">
        <v>39</v>
      </c>
      <c r="F355" s="188">
        <f>[1]AcreSummary!M106</f>
        <v>0.38998063020529794</v>
      </c>
      <c r="G355" s="25"/>
      <c r="H355" s="117"/>
      <c r="I355" s="57">
        <f>[1]Native!E104</f>
        <v>10.42</v>
      </c>
      <c r="J355" s="58">
        <f>[1]Native!F104</f>
        <v>11.08</v>
      </c>
      <c r="K355" s="80">
        <f>[1]Native!G104</f>
        <v>11.44</v>
      </c>
      <c r="L355" s="68">
        <f>[1]Native!H104</f>
        <v>11.58</v>
      </c>
      <c r="M355" s="58">
        <f>[1]Native!I104</f>
        <v>11.95</v>
      </c>
      <c r="N355" s="81">
        <f>[1]Native!J104</f>
        <v>12.31</v>
      </c>
      <c r="O355" s="62">
        <v>10.67</v>
      </c>
      <c r="P355" s="81">
        <f>[1]Native!K104</f>
        <v>12.73</v>
      </c>
      <c r="Q355" s="82">
        <f>[1]Native!L104</f>
        <v>12.13</v>
      </c>
      <c r="R355" s="83">
        <v>12.13</v>
      </c>
      <c r="S355" s="84">
        <f>[1]Native!M104</f>
        <v>11.57</v>
      </c>
      <c r="T355" s="66">
        <f>[1]Native!N104</f>
        <v>10.93</v>
      </c>
      <c r="U355" s="67">
        <f>[1]Native!O104</f>
        <v>9.93</v>
      </c>
      <c r="V355" s="68">
        <f>[1]Native!P104</f>
        <v>5.81</v>
      </c>
      <c r="W355" s="68">
        <f>[1]Native!Q104</f>
        <v>5.77</v>
      </c>
      <c r="X355" s="68">
        <v>6.3</v>
      </c>
      <c r="Y355" s="68">
        <v>6.91</v>
      </c>
      <c r="Z355" s="68">
        <v>7.92</v>
      </c>
      <c r="AA355" s="68">
        <v>9.0399999999999991</v>
      </c>
      <c r="AB355" s="68">
        <v>10.83</v>
      </c>
      <c r="AC355" s="68">
        <v>12.26</v>
      </c>
      <c r="AD355" s="68">
        <v>13.67</v>
      </c>
      <c r="AE355" s="68">
        <v>14.78</v>
      </c>
      <c r="AF355" s="68">
        <v>15.25</v>
      </c>
      <c r="AG355" s="69">
        <v>15.83</v>
      </c>
      <c r="AH355" s="70">
        <v>16.47</v>
      </c>
      <c r="AI355" s="70">
        <v>16.48</v>
      </c>
      <c r="AJ355" s="70">
        <v>16.78</v>
      </c>
      <c r="AK355" s="8">
        <f t="shared" si="63"/>
        <v>71</v>
      </c>
      <c r="AL355" s="8">
        <f t="shared" si="64"/>
        <v>74</v>
      </c>
      <c r="AM355" s="85">
        <f t="shared" si="65"/>
        <v>74</v>
      </c>
      <c r="AN355" s="23">
        <f t="shared" si="66"/>
        <v>78</v>
      </c>
      <c r="AO355" s="85">
        <f t="shared" si="61"/>
        <v>73</v>
      </c>
      <c r="AP355" s="72">
        <f t="shared" si="62"/>
        <v>88</v>
      </c>
      <c r="AQ355" s="71">
        <f t="shared" si="67"/>
        <v>83</v>
      </c>
      <c r="AR355" s="71">
        <f t="shared" si="67"/>
        <v>83</v>
      </c>
      <c r="AS355" s="71">
        <f t="shared" si="59"/>
        <v>79</v>
      </c>
      <c r="AT355" s="71">
        <f t="shared" si="60"/>
        <v>74</v>
      </c>
      <c r="AU355" s="71">
        <f t="shared" ref="AU355:AU363" si="69">ROUND(U355/VLOOKUP($C355,CapRate,11),0)</f>
        <v>67</v>
      </c>
      <c r="AV355" s="72">
        <f t="shared" si="68"/>
        <v>39</v>
      </c>
      <c r="AW355" s="72">
        <f>ROUND(W355/VLOOKUP($C355,CapRate,13),0)</f>
        <v>38</v>
      </c>
      <c r="AX355" s="122">
        <f>IF(ROUND(X355/VLOOKUP($C355,CapRate,14),0)&gt;10,X355/VLOOKUP($C355,CapRate,14),10)</f>
        <v>41.365725541694026</v>
      </c>
      <c r="AY355" s="122">
        <f>IF(ROUND(Y355/VLOOKUP($C355,CapRate,15),0)&gt;10,Y355/VLOOKUP($C355,CapRate,15),10)</f>
        <v>44.870129870129873</v>
      </c>
      <c r="AZ355" s="122">
        <f>IF(ROUND(Z355/VLOOKUP($C355,CapRate,16),0)&gt;10,Z355/VLOOKUP($C355,CapRate,16),10)</f>
        <v>51.228978007761967</v>
      </c>
      <c r="BA355" s="122">
        <f>IF(ROUND(AA355/VLOOKUP($C355,CapRate,17),0)&gt;10,AA355/VLOOKUP($C355,CapRate,17),10)</f>
        <v>57.763578274760377</v>
      </c>
      <c r="BB355" s="122">
        <f>IF(ROUND(AB355/VLOOKUP($C355,CapRate,18),0)&gt;10,AB355/VLOOKUP($C355,CapRate,18),10)</f>
        <v>68.980891719745216</v>
      </c>
      <c r="BC355" s="122">
        <f>IF(ROUND(AC355/VLOOKUP($C355,CapRate,19),0)&gt;10,AC355/VLOOKUP($C355,CapRate,19),10)</f>
        <v>77.693282636248412</v>
      </c>
      <c r="BD355" s="122">
        <f>IF(ROUND(AD355/VLOOKUP($C355,CapRate,20),0)&gt;10,AD355/VLOOKUP($C355,CapRate,20),10)</f>
        <v>86.246056782334378</v>
      </c>
      <c r="BE355" s="122">
        <f>IF(ROUND(AE355/VLOOKUP($C355,CapRate,21),0)&gt;10,AE355/VLOOKUP($C355,CapRate,21),10)</f>
        <v>93.367024636765635</v>
      </c>
      <c r="BF355" s="122">
        <f>IF(ROUND(AF355/VLOOKUP($C355,CapRate,22),0)&gt;10,AF355/VLOOKUP($C355,CapRate,22),10)</f>
        <v>96.336070751737211</v>
      </c>
      <c r="BG355" s="122">
        <f>IF(ROUND(AG355/VLOOKUP($C355,CapRate,23),0)&gt;10,AG355/VLOOKUP($C355,CapRate,23),10)</f>
        <v>100</v>
      </c>
      <c r="BH355" s="122">
        <f>IF(ROUND(AH355/VLOOKUP($C355,CapRate,24),0)&gt;10,AH355/VLOOKUP($C355,CapRate,24),10)</f>
        <v>104.1087231352718</v>
      </c>
      <c r="BI355" s="122">
        <f>IF(ROUND(AI355/VLOOKUP($C355,CapRate,25),0)&gt;10,AI355/VLOOKUP($C355,CapRate,25),10)</f>
        <v>104.23782416192284</v>
      </c>
      <c r="BJ355" s="122">
        <f>IF(ROUND(AJ355/VLOOKUP($C355,CapRate,26),0)&gt;10,AJ355/VLOOKUP($C355,CapRate,26),10)</f>
        <v>105.93434343434343</v>
      </c>
      <c r="BK355" s="75">
        <f t="shared" si="58"/>
        <v>1.6275467049132075E-2</v>
      </c>
      <c r="BL355" s="76"/>
      <c r="BM355" s="219">
        <f>BK355</f>
        <v>1.6275467049132075E-2</v>
      </c>
      <c r="BN355" s="220"/>
      <c r="BO355" s="220"/>
      <c r="BP355" s="220"/>
    </row>
    <row r="356" spans="1:70" ht="15.9" customHeight="1">
      <c r="A356" s="8"/>
      <c r="B356" s="22"/>
      <c r="C356" s="8" t="s">
        <v>169</v>
      </c>
      <c r="D356" s="23"/>
      <c r="E356" s="8" t="s">
        <v>85</v>
      </c>
      <c r="F356" s="188">
        <f>[1]AcreSummary!L106</f>
        <v>0.28735187739208617</v>
      </c>
      <c r="G356" s="25"/>
      <c r="H356" s="117"/>
      <c r="I356" s="57"/>
      <c r="J356" s="58">
        <f>[1]Tame!D73</f>
        <v>13.24</v>
      </c>
      <c r="K356" s="80">
        <f>[1]Tame!E73</f>
        <v>13.3</v>
      </c>
      <c r="L356" s="68">
        <f>[1]Tame!F73</f>
        <v>13.09</v>
      </c>
      <c r="M356" s="58">
        <f>[1]Tame!G73</f>
        <v>13.09</v>
      </c>
      <c r="N356" s="81">
        <f>[1]Tame!H73</f>
        <v>13.13</v>
      </c>
      <c r="O356" s="62">
        <v>13.16</v>
      </c>
      <c r="P356" s="81">
        <f>[1]Tame!I73</f>
        <v>13.22</v>
      </c>
      <c r="Q356" s="82">
        <f>[1]Tame!J73</f>
        <v>12.61</v>
      </c>
      <c r="R356" s="83">
        <v>12.61</v>
      </c>
      <c r="S356" s="84">
        <f>[1]Tame!K73</f>
        <v>11.9</v>
      </c>
      <c r="T356" s="66">
        <f>[1]Tame!L73</f>
        <v>10.98</v>
      </c>
      <c r="U356" s="67">
        <f>[1]Tame!M73</f>
        <v>10.18</v>
      </c>
      <c r="V356" s="68">
        <f>[1]Tame!N73</f>
        <v>2.0299999999999998</v>
      </c>
      <c r="W356" s="68">
        <f>[1]Tame!O73</f>
        <v>1.68</v>
      </c>
      <c r="X356" s="68">
        <v>2.0299999999999998</v>
      </c>
      <c r="Y356" s="68">
        <v>2.4700000000000002</v>
      </c>
      <c r="Z356" s="68">
        <v>4.3600000000000003</v>
      </c>
      <c r="AA356" s="68">
        <v>6.11</v>
      </c>
      <c r="AB356" s="68">
        <v>7.92</v>
      </c>
      <c r="AC356" s="68">
        <v>0</v>
      </c>
      <c r="AD356" s="68">
        <v>10.81</v>
      </c>
      <c r="AE356" s="68">
        <v>11.82</v>
      </c>
      <c r="AF356" s="68">
        <v>12.17</v>
      </c>
      <c r="AG356" s="69">
        <v>12.57</v>
      </c>
      <c r="AH356" s="70">
        <v>13</v>
      </c>
      <c r="AI356" s="70">
        <v>13.29</v>
      </c>
      <c r="AJ356" s="70">
        <v>13.93</v>
      </c>
      <c r="AK356" s="8">
        <f>ROUND(J356/VLOOKUP($C356,CapRate,2),0)</f>
        <v>85</v>
      </c>
      <c r="AL356" s="8">
        <f>ROUND(K356/VLOOKUP($C356,CapRate,3),0)</f>
        <v>86</v>
      </c>
      <c r="AM356" s="85">
        <f>ROUND(L356/VLOOKUP($C356,CapRate,4),0)</f>
        <v>84</v>
      </c>
      <c r="AN356" s="23">
        <f>ROUND(M356/VLOOKUP($C356,CapRate,5),0)</f>
        <v>86</v>
      </c>
      <c r="AO356" s="85">
        <f t="shared" si="61"/>
        <v>90</v>
      </c>
      <c r="AP356" s="72">
        <f t="shared" si="62"/>
        <v>91</v>
      </c>
      <c r="AQ356" s="71">
        <f t="shared" si="67"/>
        <v>86</v>
      </c>
      <c r="AR356" s="71">
        <f t="shared" si="67"/>
        <v>86</v>
      </c>
      <c r="AS356" s="71">
        <f t="shared" si="59"/>
        <v>81</v>
      </c>
      <c r="AT356" s="71">
        <f t="shared" si="60"/>
        <v>74</v>
      </c>
      <c r="AU356" s="71">
        <f t="shared" si="69"/>
        <v>69</v>
      </c>
      <c r="AV356" s="72">
        <f>IF(ROUND(V356/VLOOKUP($C356,CapRate,12),0)&gt;AV355,V356/VLOOKUP($C356,CapRate,12),AV355)</f>
        <v>39</v>
      </c>
      <c r="AW356" s="72">
        <f>IF(ROUND(W356/VLOOKUP($C356,CapRate,13),0)&gt;AW355,W356/VLOOKUP($C356,CapRate,13),AW355)</f>
        <v>38</v>
      </c>
      <c r="AX356" s="72">
        <f>IF(ROUND(X356/VLOOKUP($C356,CapRate,14),0)&gt;AX355,X356/VLOOKUP($C356,CapRate,14),AX355)</f>
        <v>41.365725541694026</v>
      </c>
      <c r="AY356" s="72">
        <f>IF(ROUND(Y356/VLOOKUP($C356,CapRate,15),0)&gt;AY355,Y356/VLOOKUP($C356,CapRate,15),AY355)</f>
        <v>44.870129870129873</v>
      </c>
      <c r="AZ356" s="72">
        <f>IF(ROUND(Z356/VLOOKUP($C356,CapRate,16),0)&gt;AZ355,Z356/VLOOKUP($C356,CapRate,16),AZ355)</f>
        <v>51.228978007761967</v>
      </c>
      <c r="BA356" s="72">
        <f>IF(ROUND(AA356/VLOOKUP($C356,CapRate,17),0)&gt;BA355,AA356/VLOOKUP($C356,CapRate,17),BA355)</f>
        <v>57.763578274760377</v>
      </c>
      <c r="BB356" s="72">
        <f>IF(ROUND(AB356/VLOOKUP($C356,CapRate,18),0)&gt;BB355,AB356/VLOOKUP($C356,CapRate,18),BB355)</f>
        <v>68.980891719745216</v>
      </c>
      <c r="BC356" s="72">
        <f>IF(ROUND(AC356/VLOOKUP($C356,CapRate,19),0)&gt;BC355,AC356/VLOOKUP($C356,CapRate,19),BC355)</f>
        <v>77.693282636248412</v>
      </c>
      <c r="BD356" s="72">
        <f>IF(ROUND(AD356/VLOOKUP($C356,CapRate,20),0)&gt;BD355,AD356/VLOOKUP($C356,CapRate,20),BD355)</f>
        <v>86.246056782334378</v>
      </c>
      <c r="BE356" s="72">
        <f>IF(ROUND(AE356/VLOOKUP($C356,CapRate,21),0)&gt;BE355,AE356/VLOOKUP($C356,CapRate,21),BE355)</f>
        <v>93.367024636765635</v>
      </c>
      <c r="BF356" s="72">
        <f>IF(ROUND(AF356/VLOOKUP($C356,CapRate,22),0)&gt;BF355,AF356/VLOOKUP($C356,CapRate,22),BF355)</f>
        <v>96.336070751737211</v>
      </c>
      <c r="BG356" s="72">
        <f>IF(ROUND(AG356/VLOOKUP($C356,CapRate,23),0)&gt;BG355,AG356/VLOOKUP($C356,CapRate,23),BG355)</f>
        <v>100</v>
      </c>
      <c r="BH356" s="72">
        <f>IF(ROUND(AH356/VLOOKUP($C356,CapRate,24),0)&gt;BH355,AH356/VLOOKUP($C356,CapRate,24),BH355)</f>
        <v>104.1087231352718</v>
      </c>
      <c r="BI356" s="72">
        <f>IF(ROUND(AI356/VLOOKUP($C356,CapRate,25),0)&gt;BI355,AI356/VLOOKUP($C356,CapRate,25),BI355)</f>
        <v>104.23782416192284</v>
      </c>
      <c r="BJ356" s="72">
        <f>IF(ROUND(AJ356/VLOOKUP($C356,CapRate,26),0)&gt;BJ355,AJ356/VLOOKUP($C356,CapRate,26),BJ355)</f>
        <v>105.93434343434343</v>
      </c>
      <c r="BK356" s="87">
        <f t="shared" ref="BK356:BK363" si="70">SUM(BJ356/BI356)-1</f>
        <v>1.6275467049132075E-2</v>
      </c>
      <c r="BL356" s="76"/>
      <c r="BM356" s="77"/>
      <c r="BN356" s="77"/>
      <c r="BO356" s="77"/>
      <c r="BP356" s="77">
        <f>BK356</f>
        <v>1.6275467049132075E-2</v>
      </c>
    </row>
    <row r="357" spans="1:70" ht="15.9" customHeight="1" thickBot="1">
      <c r="A357" s="8" t="s">
        <v>155</v>
      </c>
      <c r="B357" s="22"/>
      <c r="C357" s="90" t="s">
        <v>169</v>
      </c>
      <c r="D357" s="91"/>
      <c r="E357" s="90" t="s">
        <v>40</v>
      </c>
      <c r="F357" s="190">
        <f>[1]AcreSummary!J106</f>
        <v>0.32227850327873181</v>
      </c>
      <c r="G357" s="191"/>
      <c r="H357" s="94"/>
      <c r="I357" s="95">
        <f>[1]Dry!E106</f>
        <v>22.5</v>
      </c>
      <c r="J357" s="96">
        <f>[1]Dry!F106</f>
        <v>22.14</v>
      </c>
      <c r="K357" s="97">
        <f>[1]Dry!G106</f>
        <v>22.78</v>
      </c>
      <c r="L357" s="98">
        <f>[1]Dry!H106</f>
        <v>23.85</v>
      </c>
      <c r="M357" s="96">
        <f>[1]Dry!I106</f>
        <v>25.33</v>
      </c>
      <c r="N357" s="99">
        <f>[1]Dry!J106</f>
        <v>26.66</v>
      </c>
      <c r="O357" s="100">
        <v>26.55</v>
      </c>
      <c r="P357" s="99">
        <f>[1]Dry!K106</f>
        <v>27.27</v>
      </c>
      <c r="Q357" s="101">
        <f>[1]Dry!L106</f>
        <v>27.83</v>
      </c>
      <c r="R357" s="221">
        <f>Q357*0.95</f>
        <v>26.438499999999998</v>
      </c>
      <c r="S357" s="103">
        <f>[1]Dry!N106</f>
        <v>27.45</v>
      </c>
      <c r="T357" s="104">
        <f>[1]Dry!O106</f>
        <v>27.19</v>
      </c>
      <c r="U357" s="105">
        <f>[1]Dry!P106</f>
        <v>26.14</v>
      </c>
      <c r="V357" s="98">
        <f>[1]Dry!Q106</f>
        <v>19.96</v>
      </c>
      <c r="W357" s="98">
        <f>[1]Dry!R106</f>
        <v>22.6</v>
      </c>
      <c r="X357" s="98">
        <f>[1]Dry!S106</f>
        <v>24.35</v>
      </c>
      <c r="Y357" s="98">
        <f>[1]Dry!T106</f>
        <v>26.87</v>
      </c>
      <c r="Z357" s="98">
        <v>30.08</v>
      </c>
      <c r="AA357" s="98">
        <v>34.950000000000003</v>
      </c>
      <c r="AB357" s="98">
        <v>39.26</v>
      </c>
      <c r="AC357" s="98">
        <v>43.15</v>
      </c>
      <c r="AD357" s="98">
        <v>45.13</v>
      </c>
      <c r="AE357" s="98">
        <v>45.36</v>
      </c>
      <c r="AF357" s="98">
        <v>48.47</v>
      </c>
      <c r="AG357" s="106">
        <v>50.86</v>
      </c>
      <c r="AH357" s="107">
        <v>50.08</v>
      </c>
      <c r="AI357" s="107">
        <v>45.41</v>
      </c>
      <c r="AJ357" s="107">
        <v>42.02</v>
      </c>
      <c r="AK357" s="90">
        <f t="shared" si="63"/>
        <v>143</v>
      </c>
      <c r="AL357" s="90">
        <f t="shared" si="64"/>
        <v>147</v>
      </c>
      <c r="AM357" s="108">
        <f t="shared" si="65"/>
        <v>153</v>
      </c>
      <c r="AN357" s="91">
        <f t="shared" si="66"/>
        <v>166</v>
      </c>
      <c r="AO357" s="108">
        <f t="shared" si="61"/>
        <v>181</v>
      </c>
      <c r="AP357" s="109">
        <f t="shared" si="62"/>
        <v>188</v>
      </c>
      <c r="AQ357" s="110">
        <f t="shared" si="67"/>
        <v>190</v>
      </c>
      <c r="AR357" s="222">
        <f t="shared" si="67"/>
        <v>181</v>
      </c>
      <c r="AS357" s="110">
        <f t="shared" ref="AS357:AS363" si="71">ROUND(S357/VLOOKUP($C357,CapRate,9),0)</f>
        <v>187</v>
      </c>
      <c r="AT357" s="110">
        <f t="shared" ref="AT357:AT363" si="72">ROUND(T357/VLOOKUP($C357,CapRate,10),0)</f>
        <v>184</v>
      </c>
      <c r="AU357" s="110">
        <f t="shared" si="69"/>
        <v>177</v>
      </c>
      <c r="AV357" s="109">
        <f t="shared" si="68"/>
        <v>133</v>
      </c>
      <c r="AW357" s="109">
        <f>ROUND(W357/VLOOKUP($C357,CapRate,13),0)</f>
        <v>149</v>
      </c>
      <c r="AX357" s="72">
        <f>ROUND(X357/VLOOKUP($C357,CapRate,14),0)</f>
        <v>160</v>
      </c>
      <c r="AY357" s="72">
        <f>ROUND(Y357/VLOOKUP($C357,CapRate,15),0)</f>
        <v>174</v>
      </c>
      <c r="AZ357" s="72">
        <f>ROUND(Z357/VLOOKUP($C357,CapRate,16),0)</f>
        <v>195</v>
      </c>
      <c r="BA357" s="72">
        <f>ROUND(AA357/VLOOKUP($C357,CapRate,17),0)</f>
        <v>223</v>
      </c>
      <c r="BB357" s="72">
        <f>ROUND(AB357/VLOOKUP($C357,CapRate,18),0)</f>
        <v>250</v>
      </c>
      <c r="BC357" s="72">
        <f>ROUND(AC357/VLOOKUP($C357,CapRate,19),0)</f>
        <v>273</v>
      </c>
      <c r="BD357" s="72">
        <f>ROUND(AD357/VLOOKUP($C357,CapRate,20),0)</f>
        <v>285</v>
      </c>
      <c r="BE357" s="72">
        <f>ROUND(AE357/VLOOKUP($C357,CapRate,21),0)</f>
        <v>287</v>
      </c>
      <c r="BF357" s="72">
        <f>ROUND(AF357/VLOOKUP($C357,CapRate,22),0)</f>
        <v>306</v>
      </c>
      <c r="BG357" s="72">
        <f>ROUND(AG357/VLOOKUP($C357,CapRate,23),0)</f>
        <v>321</v>
      </c>
      <c r="BH357" s="72">
        <f>ROUND(AH357/VLOOKUP($C357,CapRate,24),0)</f>
        <v>317</v>
      </c>
      <c r="BI357" s="72">
        <f>ROUND(AI357/VLOOKUP($C357,CapRate,25),0)</f>
        <v>287</v>
      </c>
      <c r="BJ357" s="72">
        <f>ROUND(AJ357/VLOOKUP($C357,CapRate,26),0)</f>
        <v>265</v>
      </c>
      <c r="BK357" s="87">
        <f t="shared" si="70"/>
        <v>-7.6655052264808399E-2</v>
      </c>
      <c r="BL357" s="114">
        <f>((F355*BK355)+(F356*BK356)+(F357*BK357))</f>
        <v>-1.3680372603948186E-2</v>
      </c>
      <c r="BM357" s="226"/>
      <c r="BN357" s="227">
        <f>BK357</f>
        <v>-7.6655052264808399E-2</v>
      </c>
      <c r="BO357" s="227"/>
      <c r="BP357" s="227"/>
    </row>
    <row r="358" spans="1:70" ht="15.9" customHeight="1" thickTop="1">
      <c r="A358" s="8" t="s">
        <v>155</v>
      </c>
      <c r="B358" s="22"/>
      <c r="C358" s="8" t="s">
        <v>170</v>
      </c>
      <c r="D358" s="23" t="s">
        <v>170</v>
      </c>
      <c r="E358" s="8" t="s">
        <v>39</v>
      </c>
      <c r="F358" s="188">
        <f>[1]AcreSummary!M107</f>
        <v>0.55903670706605557</v>
      </c>
      <c r="G358" s="25"/>
      <c r="H358" s="117"/>
      <c r="I358" s="57">
        <f>[1]Native!E105</f>
        <v>9.1199999999999992</v>
      </c>
      <c r="J358" s="58">
        <f>[1]Native!F105</f>
        <v>9.06</v>
      </c>
      <c r="K358" s="80">
        <f>[1]Native!G105</f>
        <v>9.36</v>
      </c>
      <c r="L358" s="68">
        <f>[1]Native!H105</f>
        <v>9.5399999999999991</v>
      </c>
      <c r="M358" s="58">
        <f>[1]Native!I105</f>
        <v>9.92</v>
      </c>
      <c r="N358" s="81">
        <f>[1]Native!J105</f>
        <v>10.28</v>
      </c>
      <c r="O358" s="62">
        <v>9.4</v>
      </c>
      <c r="P358" s="81">
        <f>[1]Native!K105</f>
        <v>10.74</v>
      </c>
      <c r="Q358" s="82">
        <f>[1]Native!L105</f>
        <v>10.210000000000001</v>
      </c>
      <c r="R358" s="83">
        <v>10.210000000000001</v>
      </c>
      <c r="S358" s="84">
        <f>[1]Native!M105</f>
        <v>9.7100000000000009</v>
      </c>
      <c r="T358" s="66">
        <f>[1]Native!N105</f>
        <v>9.11</v>
      </c>
      <c r="U358" s="67">
        <f>[1]Native!O105</f>
        <v>8.1999999999999993</v>
      </c>
      <c r="V358" s="68">
        <f>[1]Native!P105</f>
        <v>5.31</v>
      </c>
      <c r="W358" s="68">
        <f>[1]Native!Q105</f>
        <v>5.25</v>
      </c>
      <c r="X358" s="68">
        <v>5.96</v>
      </c>
      <c r="Y358" s="68">
        <v>6.57</v>
      </c>
      <c r="Z358" s="68">
        <v>7.59</v>
      </c>
      <c r="AA358" s="68">
        <v>8.7200000000000006</v>
      </c>
      <c r="AB358" s="68">
        <v>9.75</v>
      </c>
      <c r="AC358" s="68">
        <v>10.89</v>
      </c>
      <c r="AD358" s="68">
        <v>12.1</v>
      </c>
      <c r="AE358" s="68">
        <v>13.19</v>
      </c>
      <c r="AF358" s="68">
        <v>13.65</v>
      </c>
      <c r="AG358" s="69">
        <v>14.18</v>
      </c>
      <c r="AH358" s="70">
        <v>14.77</v>
      </c>
      <c r="AI358" s="70">
        <v>14.73</v>
      </c>
      <c r="AJ358" s="70">
        <v>14.98</v>
      </c>
      <c r="AK358" s="8">
        <f t="shared" si="63"/>
        <v>60</v>
      </c>
      <c r="AL358" s="8">
        <f t="shared" si="64"/>
        <v>62</v>
      </c>
      <c r="AM358" s="85">
        <f t="shared" si="65"/>
        <v>62</v>
      </c>
      <c r="AN358" s="23">
        <f t="shared" si="66"/>
        <v>66</v>
      </c>
      <c r="AO358" s="85">
        <f t="shared" si="61"/>
        <v>65</v>
      </c>
      <c r="AP358" s="72">
        <f t="shared" si="62"/>
        <v>75</v>
      </c>
      <c r="AQ358" s="71">
        <f t="shared" si="67"/>
        <v>72</v>
      </c>
      <c r="AR358" s="71">
        <f t="shared" si="67"/>
        <v>72</v>
      </c>
      <c r="AS358" s="71">
        <f t="shared" si="71"/>
        <v>68</v>
      </c>
      <c r="AT358" s="71">
        <f t="shared" si="72"/>
        <v>64</v>
      </c>
      <c r="AU358" s="71">
        <f t="shared" si="69"/>
        <v>58</v>
      </c>
      <c r="AV358" s="72">
        <f t="shared" si="68"/>
        <v>37</v>
      </c>
      <c r="AW358" s="72">
        <f>ROUND(W358/VLOOKUP($C358,CapRate,13),0)</f>
        <v>37</v>
      </c>
      <c r="AX358" s="122">
        <f>IF(ROUND(X358/VLOOKUP($C358,CapRate,14),0)&gt;10,X358/VLOOKUP($C358,CapRate,14),10)</f>
        <v>41.765942536790469</v>
      </c>
      <c r="AY358" s="122">
        <f>IF(ROUND(Y358/VLOOKUP($C358,CapRate,15),0)&gt;10,Y358/VLOOKUP($C358,CapRate,15),10)</f>
        <v>45.911949685534594</v>
      </c>
      <c r="AZ358" s="122">
        <f>IF(ROUND(Z358/VLOOKUP($C358,CapRate,16),0)&gt;10,Z358/VLOOKUP($C358,CapRate,16),10)</f>
        <v>53.002793296089386</v>
      </c>
      <c r="BA358" s="122">
        <f>IF(ROUND(AA358/VLOOKUP($C358,CapRate,17),0)&gt;10,AA358/VLOOKUP($C358,CapRate,17),10)</f>
        <v>60.808926080892611</v>
      </c>
      <c r="BB358" s="122">
        <f>IF(ROUND(AB358/VLOOKUP($C358,CapRate,18),0)&gt;10,AB358/VLOOKUP($C358,CapRate,18),10)</f>
        <v>67.896935933147631</v>
      </c>
      <c r="BC358" s="122">
        <f>IF(ROUND(AC358/VLOOKUP($C358,CapRate,19),0)&gt;10,AC358/VLOOKUP($C358,CapRate,19),10)</f>
        <v>75.625000000000014</v>
      </c>
      <c r="BD358" s="122">
        <f>IF(ROUND(AD358/VLOOKUP($C358,CapRate,20),0)&gt;10,AD358/VLOOKUP($C358,CapRate,20),10)</f>
        <v>83.621285418106424</v>
      </c>
      <c r="BE358" s="122">
        <f>IF(ROUND(AE358/VLOOKUP($C358,CapRate,21),0)&gt;10,AE358/VLOOKUP($C358,CapRate,21),10)</f>
        <v>90.902825637491375</v>
      </c>
      <c r="BF358" s="122">
        <f>IF(ROUND(AF358/VLOOKUP($C358,CapRate,22),0)&gt;10,AF358/VLOOKUP($C358,CapRate,22),10)</f>
        <v>93.878954607977988</v>
      </c>
      <c r="BG358" s="122">
        <f>IF(ROUND(AG358/VLOOKUP($C358,CapRate,23),0)&gt;10,AG358/VLOOKUP($C358,CapRate,23),10)</f>
        <v>97.390109890109883</v>
      </c>
      <c r="BH358" s="122">
        <f>IF(ROUND(AH358/VLOOKUP($C358,CapRate,24),0)&gt;10,AH358/VLOOKUP($C358,CapRate,24),10)</f>
        <v>101.09514031485283</v>
      </c>
      <c r="BI358" s="122">
        <f>IF(ROUND(AI358/VLOOKUP($C358,CapRate,25),0)&gt;10,AI358/VLOOKUP($C358,CapRate,25),10)</f>
        <v>100.40899795501024</v>
      </c>
      <c r="BJ358" s="122">
        <f>IF(ROUND(AJ358/VLOOKUP($C358,CapRate,26),0)&gt;10,AJ358/VLOOKUP($C358,CapRate,26),10)</f>
        <v>101.49051490514904</v>
      </c>
      <c r="BK358" s="75">
        <f t="shared" si="70"/>
        <v>1.0771115857797886E-2</v>
      </c>
      <c r="BL358" s="76"/>
      <c r="BM358" s="219">
        <f>BK358</f>
        <v>1.0771115857797886E-2</v>
      </c>
      <c r="BN358" s="220"/>
      <c r="BO358" s="220"/>
      <c r="BP358" s="220"/>
    </row>
    <row r="359" spans="1:70" ht="15.9" customHeight="1">
      <c r="A359" s="8"/>
      <c r="B359" s="22"/>
      <c r="C359" s="8" t="s">
        <v>170</v>
      </c>
      <c r="D359" s="23"/>
      <c r="E359" s="8" t="s">
        <v>85</v>
      </c>
      <c r="F359" s="188">
        <f>[1]AcreSummary!L107</f>
        <v>6.1595187095427835E-2</v>
      </c>
      <c r="G359" s="25"/>
      <c r="H359" s="117"/>
      <c r="I359" s="57"/>
      <c r="J359" s="58">
        <f>[1]Tame!D74</f>
        <v>12.75</v>
      </c>
      <c r="K359" s="80">
        <f>[1]Tame!E74</f>
        <v>12.8</v>
      </c>
      <c r="L359" s="68">
        <f>[1]Tame!F74</f>
        <v>12.58</v>
      </c>
      <c r="M359" s="58">
        <f>[1]Tame!G74</f>
        <v>12.56</v>
      </c>
      <c r="N359" s="81">
        <f>[1]Tame!H74</f>
        <v>12.57</v>
      </c>
      <c r="O359" s="62">
        <v>12.58</v>
      </c>
      <c r="P359" s="81">
        <f>[1]Tame!I74</f>
        <v>12.62</v>
      </c>
      <c r="Q359" s="82">
        <f>[1]Tame!J74</f>
        <v>12</v>
      </c>
      <c r="R359" s="83">
        <v>12</v>
      </c>
      <c r="S359" s="84">
        <f>[1]Tame!K74</f>
        <v>11.28</v>
      </c>
      <c r="T359" s="66">
        <f>[1]Tame!L74</f>
        <v>10.32</v>
      </c>
      <c r="U359" s="67">
        <f>[1]Tame!M74</f>
        <v>9.5</v>
      </c>
      <c r="V359" s="68">
        <f>[1]Tame!N74</f>
        <v>1.9</v>
      </c>
      <c r="W359" s="68">
        <f>[1]Tame!O74</f>
        <v>1.68</v>
      </c>
      <c r="X359" s="68">
        <v>2.1</v>
      </c>
      <c r="Y359" s="68">
        <v>2.64</v>
      </c>
      <c r="Z359" s="68">
        <v>4.62</v>
      </c>
      <c r="AA359" s="68">
        <v>6.48</v>
      </c>
      <c r="AB359" s="68">
        <v>8.24</v>
      </c>
      <c r="AC359" s="68">
        <v>0</v>
      </c>
      <c r="AD359" s="68">
        <v>9.91</v>
      </c>
      <c r="AE359" s="68">
        <v>10.95</v>
      </c>
      <c r="AF359" s="68">
        <v>11.26</v>
      </c>
      <c r="AG359" s="69">
        <v>11.64</v>
      </c>
      <c r="AH359" s="70">
        <v>12.04</v>
      </c>
      <c r="AI359" s="70">
        <v>12.29</v>
      </c>
      <c r="AJ359" s="70">
        <v>12.89</v>
      </c>
      <c r="AK359" s="8">
        <f>ROUND(J359/VLOOKUP($C359,CapRate,2),0)</f>
        <v>84</v>
      </c>
      <c r="AL359" s="8">
        <f>ROUND(K359/VLOOKUP($C359,CapRate,3),0)</f>
        <v>84</v>
      </c>
      <c r="AM359" s="85">
        <f>ROUND(L359/VLOOKUP($C359,CapRate,4),0)</f>
        <v>82</v>
      </c>
      <c r="AN359" s="23">
        <f>ROUND(M359/VLOOKUP($C359,CapRate,5),0)</f>
        <v>84</v>
      </c>
      <c r="AO359" s="85">
        <f t="shared" si="61"/>
        <v>87</v>
      </c>
      <c r="AP359" s="72">
        <f t="shared" si="62"/>
        <v>89</v>
      </c>
      <c r="AQ359" s="71">
        <f t="shared" si="67"/>
        <v>84</v>
      </c>
      <c r="AR359" s="71">
        <f t="shared" si="67"/>
        <v>84</v>
      </c>
      <c r="AS359" s="71">
        <f t="shared" si="71"/>
        <v>79</v>
      </c>
      <c r="AT359" s="71">
        <f t="shared" si="72"/>
        <v>73</v>
      </c>
      <c r="AU359" s="71">
        <f t="shared" si="69"/>
        <v>67</v>
      </c>
      <c r="AV359" s="72">
        <f>IF(ROUND(V359/VLOOKUP($C359,CapRate,12),0)&gt;AV358,V359/VLOOKUP($C359,CapRate,12),AV358)</f>
        <v>37</v>
      </c>
      <c r="AW359" s="72">
        <f>IF(ROUND(W359/VLOOKUP($C359,CapRate,13),0)&gt;AW358,W359/VLOOKUP($C359,CapRate,13),AW358)</f>
        <v>37</v>
      </c>
      <c r="AX359" s="72">
        <f>IF(ROUND(X359/VLOOKUP($C359,CapRate,14),0)&gt;AX358,X359/VLOOKUP($C359,CapRate,14),AX358)</f>
        <v>41.765942536790469</v>
      </c>
      <c r="AY359" s="72">
        <f>IF(ROUND(Y359/VLOOKUP($C359,CapRate,15),0)&gt;AY358,Y359/VLOOKUP($C359,CapRate,15),AY358)</f>
        <v>45.911949685534594</v>
      </c>
      <c r="AZ359" s="72">
        <f>IF(ROUND(Z359/VLOOKUP($C359,CapRate,16),0)&gt;AZ358,Z359/VLOOKUP($C359,CapRate,16),AZ358)</f>
        <v>53.002793296089386</v>
      </c>
      <c r="BA359" s="72">
        <f>IF(ROUND(AA359/VLOOKUP($C359,CapRate,17),0)&gt;BA358,AA359/VLOOKUP($C359,CapRate,17),BA358)</f>
        <v>60.808926080892611</v>
      </c>
      <c r="BB359" s="72">
        <f>IF(ROUND(AB359/VLOOKUP($C359,CapRate,18),0)&gt;BB358,AB359/VLOOKUP($C359,CapRate,18),BB358)</f>
        <v>67.896935933147631</v>
      </c>
      <c r="BC359" s="72">
        <f>IF(ROUND(AC359/VLOOKUP($C359,CapRate,19),0)&gt;BC358,AC359/VLOOKUP($C359,CapRate,19),BC358)</f>
        <v>75.625000000000014</v>
      </c>
      <c r="BD359" s="72">
        <f>IF(ROUND(AD359/VLOOKUP($C359,CapRate,20),0)&gt;BD358,AD359/VLOOKUP($C359,CapRate,20),BD358)</f>
        <v>83.621285418106424</v>
      </c>
      <c r="BE359" s="72">
        <f>IF(ROUND(AE359/VLOOKUP($C359,CapRate,21),0)&gt;BE358,AE359/VLOOKUP($C359,CapRate,21),BE358)</f>
        <v>90.902825637491375</v>
      </c>
      <c r="BF359" s="72">
        <f>IF(ROUND(AF359/VLOOKUP($C359,CapRate,22),0)&gt;BF358,AF359/VLOOKUP($C359,CapRate,22),BF358)</f>
        <v>93.878954607977988</v>
      </c>
      <c r="BG359" s="72">
        <f>IF(ROUND(AG359/VLOOKUP($C359,CapRate,23),0)&gt;BG358,AG359/VLOOKUP($C359,CapRate,23),BG358)</f>
        <v>97.390109890109883</v>
      </c>
      <c r="BH359" s="72">
        <f>IF(ROUND(AH359/VLOOKUP($C359,CapRate,24),0)&gt;BH358,AH359/VLOOKUP($C359,CapRate,24),BH358)</f>
        <v>101.09514031485283</v>
      </c>
      <c r="BI359" s="72">
        <f>IF(ROUND(AI359/VLOOKUP($C359,CapRate,25),0)&gt;BI358,AI359/VLOOKUP($C359,CapRate,25),BI358)</f>
        <v>100.40899795501024</v>
      </c>
      <c r="BJ359" s="72">
        <f>IF(ROUND(AJ359/VLOOKUP($C359,CapRate,26),0)&gt;BJ358,AJ359/VLOOKUP($C359,CapRate,26),BJ358)</f>
        <v>101.49051490514904</v>
      </c>
      <c r="BK359" s="87">
        <f t="shared" si="70"/>
        <v>1.0771115857797886E-2</v>
      </c>
      <c r="BL359" s="76"/>
      <c r="BM359" s="77"/>
      <c r="BN359" s="77"/>
      <c r="BO359" s="77"/>
      <c r="BP359" s="77">
        <f>BK359</f>
        <v>1.0771115857797886E-2</v>
      </c>
    </row>
    <row r="360" spans="1:70" ht="15.9" customHeight="1" thickBot="1">
      <c r="A360" s="8" t="s">
        <v>155</v>
      </c>
      <c r="B360" s="22"/>
      <c r="C360" s="90" t="s">
        <v>170</v>
      </c>
      <c r="D360" s="91"/>
      <c r="E360" s="90" t="s">
        <v>40</v>
      </c>
      <c r="F360" s="190">
        <f>[1]AcreSummary!J107</f>
        <v>0.37496632017462422</v>
      </c>
      <c r="G360" s="191"/>
      <c r="H360" s="94"/>
      <c r="I360" s="95">
        <f>[1]Dry!E107</f>
        <v>23.09</v>
      </c>
      <c r="J360" s="96">
        <f>[1]Dry!F107</f>
        <v>21.08</v>
      </c>
      <c r="K360" s="97">
        <f>[1]Dry!G107</f>
        <v>22.15</v>
      </c>
      <c r="L360" s="98">
        <f>[1]Dry!H107</f>
        <v>23.46</v>
      </c>
      <c r="M360" s="96">
        <f>[1]Dry!I107</f>
        <v>25.14</v>
      </c>
      <c r="N360" s="99">
        <f>[1]Dry!J107</f>
        <v>26.69</v>
      </c>
      <c r="O360" s="100">
        <v>26.8</v>
      </c>
      <c r="P360" s="99">
        <f>[1]Dry!K107</f>
        <v>27.39</v>
      </c>
      <c r="Q360" s="101">
        <f>[1]Dry!L107</f>
        <v>28.02</v>
      </c>
      <c r="R360" s="221">
        <f>Q360*0.95</f>
        <v>26.619</v>
      </c>
      <c r="S360" s="103">
        <f>[1]Dry!N107</f>
        <v>27.93</v>
      </c>
      <c r="T360" s="104">
        <f>[1]Dry!O107</f>
        <v>27.86</v>
      </c>
      <c r="U360" s="105">
        <f>[1]Dry!P107</f>
        <v>26.89</v>
      </c>
      <c r="V360" s="98">
        <f>[1]Dry!Q107</f>
        <v>25.49</v>
      </c>
      <c r="W360" s="98">
        <f>[1]Dry!R107</f>
        <v>28.47</v>
      </c>
      <c r="X360" s="98">
        <f>[1]Dry!S107</f>
        <v>30.35</v>
      </c>
      <c r="Y360" s="98">
        <f>[1]Dry!T107</f>
        <v>33.01</v>
      </c>
      <c r="Z360" s="98">
        <v>36.35</v>
      </c>
      <c r="AA360" s="98">
        <v>41.68</v>
      </c>
      <c r="AB360" s="98">
        <v>45.53</v>
      </c>
      <c r="AC360" s="98">
        <v>48.73</v>
      </c>
      <c r="AD360" s="98">
        <v>49.47</v>
      </c>
      <c r="AE360" s="98">
        <v>49.03</v>
      </c>
      <c r="AF360" s="98">
        <v>50.54</v>
      </c>
      <c r="AG360" s="106">
        <v>51.76</v>
      </c>
      <c r="AH360" s="107">
        <v>50.69</v>
      </c>
      <c r="AI360" s="107">
        <v>45.72</v>
      </c>
      <c r="AJ360" s="107">
        <v>42.84</v>
      </c>
      <c r="AK360" s="90">
        <f t="shared" si="63"/>
        <v>139</v>
      </c>
      <c r="AL360" s="90">
        <f t="shared" si="64"/>
        <v>146</v>
      </c>
      <c r="AM360" s="108">
        <f t="shared" si="65"/>
        <v>153</v>
      </c>
      <c r="AN360" s="91">
        <f t="shared" si="66"/>
        <v>167</v>
      </c>
      <c r="AO360" s="108">
        <f t="shared" si="61"/>
        <v>186</v>
      </c>
      <c r="AP360" s="109">
        <f t="shared" si="62"/>
        <v>192</v>
      </c>
      <c r="AQ360" s="110">
        <f t="shared" si="67"/>
        <v>197</v>
      </c>
      <c r="AR360" s="222">
        <f t="shared" si="67"/>
        <v>187</v>
      </c>
      <c r="AS360" s="110">
        <f t="shared" si="71"/>
        <v>196</v>
      </c>
      <c r="AT360" s="110">
        <f t="shared" si="72"/>
        <v>196</v>
      </c>
      <c r="AU360" s="110">
        <f t="shared" si="69"/>
        <v>189</v>
      </c>
      <c r="AV360" s="109">
        <f t="shared" si="68"/>
        <v>179</v>
      </c>
      <c r="AW360" s="109">
        <f>ROUND(W360/VLOOKUP($C360,CapRate,13),0)</f>
        <v>200</v>
      </c>
      <c r="AX360" s="72">
        <f>ROUND(X360/VLOOKUP($C360,CapRate,14),0)</f>
        <v>213</v>
      </c>
      <c r="AY360" s="72">
        <f>ROUND(Y360/VLOOKUP($C360,CapRate,15),0)</f>
        <v>231</v>
      </c>
      <c r="AZ360" s="72">
        <f>ROUND(Z360/VLOOKUP($C360,CapRate,16),0)</f>
        <v>254</v>
      </c>
      <c r="BA360" s="72">
        <f>ROUND(AA360/VLOOKUP($C360,CapRate,17),0)</f>
        <v>291</v>
      </c>
      <c r="BB360" s="72">
        <f>ROUND(AB360/VLOOKUP($C360,CapRate,18),0)</f>
        <v>317</v>
      </c>
      <c r="BC360" s="72">
        <f>ROUND(AC360/VLOOKUP($C360,CapRate,19),0)</f>
        <v>338</v>
      </c>
      <c r="BD360" s="72">
        <f>ROUND(AD360/VLOOKUP($C360,CapRate,20),0)</f>
        <v>342</v>
      </c>
      <c r="BE360" s="72">
        <f>ROUND(AE360/VLOOKUP($C360,CapRate,21),0)</f>
        <v>338</v>
      </c>
      <c r="BF360" s="72">
        <f>ROUND(AF360/VLOOKUP($C360,CapRate,22),0)</f>
        <v>348</v>
      </c>
      <c r="BG360" s="72">
        <f>ROUND(AG360/VLOOKUP($C360,CapRate,23),0)</f>
        <v>355</v>
      </c>
      <c r="BH360" s="72">
        <f>ROUND(AH360/VLOOKUP($C360,CapRate,24),0)</f>
        <v>347</v>
      </c>
      <c r="BI360" s="72">
        <f>ROUND(AI360/VLOOKUP($C360,CapRate,25),0)</f>
        <v>312</v>
      </c>
      <c r="BJ360" s="72">
        <f>ROUND(AJ360/VLOOKUP($C360,CapRate,26),0)</f>
        <v>290</v>
      </c>
      <c r="BK360" s="87">
        <f t="shared" si="70"/>
        <v>-7.0512820512820484E-2</v>
      </c>
      <c r="BL360" s="114">
        <f>((F358*BK358)+(F359*BK359)+(F360*BK360))</f>
        <v>-1.9755034795768164E-2</v>
      </c>
      <c r="BM360" s="226"/>
      <c r="BN360" s="227">
        <f>BK360</f>
        <v>-7.0512820512820484E-2</v>
      </c>
      <c r="BO360" s="227"/>
      <c r="BP360" s="227"/>
    </row>
    <row r="361" spans="1:70" ht="15.9" customHeight="1" thickTop="1">
      <c r="A361" s="8" t="s">
        <v>155</v>
      </c>
      <c r="B361" s="22"/>
      <c r="C361" s="8" t="s">
        <v>171</v>
      </c>
      <c r="D361" s="23" t="s">
        <v>171</v>
      </c>
      <c r="E361" s="8" t="s">
        <v>39</v>
      </c>
      <c r="F361" s="188">
        <f>[1]AcreSummary!M108</f>
        <v>0.67167396071167773</v>
      </c>
      <c r="G361" s="25"/>
      <c r="H361" s="117"/>
      <c r="I361" s="57">
        <f>[1]Native!E106</f>
        <v>10.58</v>
      </c>
      <c r="J361" s="58">
        <f>[1]Native!F106</f>
        <v>10.52</v>
      </c>
      <c r="K361" s="80">
        <f>[1]Native!G106</f>
        <v>10.82</v>
      </c>
      <c r="L361" s="68">
        <f>[1]Native!H106</f>
        <v>10.89</v>
      </c>
      <c r="M361" s="58">
        <f>[1]Native!I106</f>
        <v>11.15</v>
      </c>
      <c r="N361" s="81">
        <f>[1]Native!J106</f>
        <v>11.42</v>
      </c>
      <c r="O361" s="62">
        <v>10.69</v>
      </c>
      <c r="P361" s="81">
        <f>[1]Native!K106</f>
        <v>11.75</v>
      </c>
      <c r="Q361" s="82">
        <f>[1]Native!L106</f>
        <v>11.07</v>
      </c>
      <c r="R361" s="83">
        <v>11.07</v>
      </c>
      <c r="S361" s="84">
        <f>[1]Native!M106</f>
        <v>10.45</v>
      </c>
      <c r="T361" s="66">
        <f>[1]Native!N106</f>
        <v>9.7200000000000006</v>
      </c>
      <c r="U361" s="67">
        <f>[1]Native!O106</f>
        <v>8.7100000000000009</v>
      </c>
      <c r="V361" s="68">
        <f>[1]Native!P106</f>
        <v>5.63</v>
      </c>
      <c r="W361" s="68">
        <f>[1]Native!Q106</f>
        <v>5.83</v>
      </c>
      <c r="X361" s="68">
        <v>6.61</v>
      </c>
      <c r="Y361" s="68">
        <v>7.48</v>
      </c>
      <c r="Z361" s="68">
        <v>8.77</v>
      </c>
      <c r="AA361" s="68">
        <v>10.19</v>
      </c>
      <c r="AB361" s="68">
        <v>11.45</v>
      </c>
      <c r="AC361" s="68">
        <v>12.82</v>
      </c>
      <c r="AD361" s="68">
        <v>14.27</v>
      </c>
      <c r="AE361" s="68">
        <v>15.43</v>
      </c>
      <c r="AF361" s="68">
        <v>15.91</v>
      </c>
      <c r="AG361" s="69">
        <v>16.510000000000002</v>
      </c>
      <c r="AH361" s="70">
        <v>17.18</v>
      </c>
      <c r="AI361" s="70">
        <v>17.21</v>
      </c>
      <c r="AJ361" s="70">
        <v>17.53</v>
      </c>
      <c r="AK361" s="8">
        <f t="shared" si="63"/>
        <v>70</v>
      </c>
      <c r="AL361" s="8">
        <f t="shared" si="64"/>
        <v>72</v>
      </c>
      <c r="AM361" s="85">
        <f t="shared" si="65"/>
        <v>72</v>
      </c>
      <c r="AN361" s="23">
        <f t="shared" si="66"/>
        <v>75</v>
      </c>
      <c r="AO361" s="85">
        <f t="shared" si="61"/>
        <v>75</v>
      </c>
      <c r="AP361" s="72">
        <f t="shared" si="62"/>
        <v>84</v>
      </c>
      <c r="AQ361" s="71">
        <f t="shared" si="67"/>
        <v>79</v>
      </c>
      <c r="AR361" s="71">
        <f t="shared" si="67"/>
        <v>79</v>
      </c>
      <c r="AS361" s="71">
        <f t="shared" si="71"/>
        <v>74</v>
      </c>
      <c r="AT361" s="71">
        <f t="shared" si="72"/>
        <v>69</v>
      </c>
      <c r="AU361" s="71">
        <f t="shared" si="69"/>
        <v>61</v>
      </c>
      <c r="AV361" s="72">
        <f t="shared" si="68"/>
        <v>38</v>
      </c>
      <c r="AW361" s="72">
        <f>ROUND(W361/VLOOKUP($C361,CapRate,13),0)</f>
        <v>39</v>
      </c>
      <c r="AX361" s="122">
        <f>IF(ROUND(X361/VLOOKUP($C361,CapRate,14),0)&gt;10,X361/VLOOKUP($C361,CapRate,14),10)</f>
        <v>43.688037012557835</v>
      </c>
      <c r="AY361" s="122">
        <f>IF(ROUND(Y361/VLOOKUP($C361,CapRate,15),0)&gt;10,Y361/VLOOKUP($C361,CapRate,15),10)</f>
        <v>48.761408083441985</v>
      </c>
      <c r="AZ361" s="122">
        <f>IF(ROUND(Z361/VLOOKUP($C361,CapRate,16),0)&gt;10,Z361/VLOOKUP($C361,CapRate,16),10)</f>
        <v>56.985055230669261</v>
      </c>
      <c r="BA361" s="122">
        <f>IF(ROUND(AA361/VLOOKUP($C361,CapRate,17),0)&gt;10,AA361/VLOOKUP($C361,CapRate,17),10)</f>
        <v>65.446371226718043</v>
      </c>
      <c r="BB361" s="122">
        <f>IF(ROUND(AB361/VLOOKUP($C361,CapRate,18),0)&gt;10,AB361/VLOOKUP($C361,CapRate,18),10)</f>
        <v>72.976418100701068</v>
      </c>
      <c r="BC361" s="122">
        <f>IF(ROUND(AC361/VLOOKUP($C361,CapRate,19),0)&gt;10,AC361/VLOOKUP($C361,CapRate,19),10)</f>
        <v>81.087919038583181</v>
      </c>
      <c r="BD361" s="122">
        <f>IF(ROUND(AD361/VLOOKUP($C361,CapRate,20),0)&gt;10,AD361/VLOOKUP($C361,CapRate,20),10)</f>
        <v>89.918084436042847</v>
      </c>
      <c r="BE361" s="122">
        <f>IF(ROUND(AE361/VLOOKUP($C361,CapRate,21),0)&gt;10,AE361/VLOOKUP($C361,CapRate,21),10)</f>
        <v>97.166246851385395</v>
      </c>
      <c r="BF361" s="122">
        <f>IF(ROUND(AF361/VLOOKUP($C361,CapRate,22),0)&gt;10,AF361/VLOOKUP($C361,CapRate,22),10)</f>
        <v>100.25204788909892</v>
      </c>
      <c r="BG361" s="122">
        <f>IF(ROUND(AG361/VLOOKUP($C361,CapRate,23),0)&gt;10,AG361/VLOOKUP($C361,CapRate,23),10)</f>
        <v>103.96725440806047</v>
      </c>
      <c r="BH361" s="122">
        <f>IF(ROUND(AH361/VLOOKUP($C361,CapRate,24),0)&gt;10,AH361/VLOOKUP($C361,CapRate,24),10)</f>
        <v>108.2545683679899</v>
      </c>
      <c r="BI361" s="122">
        <f>IF(ROUND(AI361/VLOOKUP($C361,CapRate,25),0)&gt;10,AI361/VLOOKUP($C361,CapRate,25),10)</f>
        <v>108.6489898989899</v>
      </c>
      <c r="BJ361" s="122">
        <f>IF(ROUND(AJ361/VLOOKUP($C361,CapRate,26),0)&gt;10,AJ361/VLOOKUP($C361,CapRate,26),10)</f>
        <v>111.51399491094148</v>
      </c>
      <c r="BK361" s="75">
        <f t="shared" si="70"/>
        <v>2.6369366292453789E-2</v>
      </c>
      <c r="BL361" s="76"/>
      <c r="BM361" s="219">
        <f>BK361</f>
        <v>2.6369366292453789E-2</v>
      </c>
      <c r="BN361" s="220"/>
      <c r="BO361" s="220"/>
      <c r="BP361" s="220"/>
    </row>
    <row r="362" spans="1:70" ht="15.9" customHeight="1">
      <c r="A362" s="8"/>
      <c r="B362" s="22"/>
      <c r="C362" s="8" t="s">
        <v>171</v>
      </c>
      <c r="D362" s="23"/>
      <c r="E362" s="8" t="s">
        <v>85</v>
      </c>
      <c r="F362" s="188">
        <f>[1]AcreSummary!L108</f>
        <v>8.3174534825158616E-2</v>
      </c>
      <c r="G362" s="25"/>
      <c r="H362" s="117"/>
      <c r="I362" s="57"/>
      <c r="J362" s="58">
        <f>[1]Tame!D75</f>
        <v>13.26</v>
      </c>
      <c r="K362" s="80">
        <f>[1]Tame!E75</f>
        <v>13.37</v>
      </c>
      <c r="L362" s="68">
        <f>[1]Tame!F75</f>
        <v>13.22</v>
      </c>
      <c r="M362" s="58">
        <f>[1]Tame!G75</f>
        <v>13.27</v>
      </c>
      <c r="N362" s="81">
        <f>[1]Tame!H75</f>
        <v>13.26</v>
      </c>
      <c r="O362" s="62">
        <v>13.24</v>
      </c>
      <c r="P362" s="81">
        <f>[1]Tame!I75</f>
        <v>13.3</v>
      </c>
      <c r="Q362" s="82">
        <f>[1]Tame!J75</f>
        <v>12.64</v>
      </c>
      <c r="R362" s="83">
        <v>12.64</v>
      </c>
      <c r="S362" s="84">
        <f>[1]Tame!K75</f>
        <v>11.88</v>
      </c>
      <c r="T362" s="66">
        <f>[1]Tame!L75</f>
        <v>10.91</v>
      </c>
      <c r="U362" s="67">
        <f>[1]Tame!M75</f>
        <v>10</v>
      </c>
      <c r="V362" s="68">
        <f>[1]Tame!N75</f>
        <v>2.33</v>
      </c>
      <c r="W362" s="68">
        <f>[1]Tame!O75</f>
        <v>2.2000000000000002</v>
      </c>
      <c r="X362" s="68">
        <v>2.78</v>
      </c>
      <c r="Y362" s="68">
        <v>3.43</v>
      </c>
      <c r="Z362" s="68">
        <v>3.49</v>
      </c>
      <c r="AA362" s="68">
        <v>5.54</v>
      </c>
      <c r="AB362" s="68">
        <v>7.64</v>
      </c>
      <c r="AC362" s="68">
        <v>0</v>
      </c>
      <c r="AD362" s="68">
        <v>11.42</v>
      </c>
      <c r="AE362" s="68">
        <v>12.44</v>
      </c>
      <c r="AF362" s="68">
        <v>13.49</v>
      </c>
      <c r="AG362" s="69">
        <v>13.98</v>
      </c>
      <c r="AH362" s="70">
        <v>14.45</v>
      </c>
      <c r="AI362" s="70">
        <v>14.79</v>
      </c>
      <c r="AJ362" s="70">
        <v>15.49</v>
      </c>
      <c r="AK362" s="8">
        <f>ROUND(J362/VLOOKUP($C362,CapRate,2),0)</f>
        <v>89</v>
      </c>
      <c r="AL362" s="8">
        <f>ROUND(K362/VLOOKUP($C362,CapRate,3),0)</f>
        <v>89</v>
      </c>
      <c r="AM362" s="85">
        <f>ROUND(L362/VLOOKUP($C362,CapRate,4),0)</f>
        <v>88</v>
      </c>
      <c r="AN362" s="23">
        <f>ROUND(M362/VLOOKUP($C362,CapRate,5),0)</f>
        <v>90</v>
      </c>
      <c r="AO362" s="85">
        <f t="shared" si="61"/>
        <v>93</v>
      </c>
      <c r="AP362" s="72">
        <f t="shared" si="62"/>
        <v>95</v>
      </c>
      <c r="AQ362" s="71">
        <f t="shared" si="67"/>
        <v>90</v>
      </c>
      <c r="AR362" s="71">
        <f t="shared" si="67"/>
        <v>90</v>
      </c>
      <c r="AS362" s="71">
        <f t="shared" si="71"/>
        <v>84</v>
      </c>
      <c r="AT362" s="71">
        <f t="shared" si="72"/>
        <v>77</v>
      </c>
      <c r="AU362" s="71">
        <f t="shared" si="69"/>
        <v>70</v>
      </c>
      <c r="AV362" s="72">
        <f>IF(ROUND(V362/VLOOKUP($C362,CapRate,12),0)&gt;AV361,V362/VLOOKUP($C362,CapRate,12),AV361)</f>
        <v>38</v>
      </c>
      <c r="AW362" s="72">
        <f>IF(ROUND(W362/VLOOKUP($C362,CapRate,13),0)&gt;AW361,W362/VLOOKUP($C362,CapRate,13),AW361)</f>
        <v>39</v>
      </c>
      <c r="AX362" s="72">
        <f>IF(ROUND(X362/VLOOKUP($C362,CapRate,14),0)&gt;AX361,X362/VLOOKUP($C362,CapRate,14),AX361)</f>
        <v>43.688037012557835</v>
      </c>
      <c r="AY362" s="72">
        <f>IF(ROUND(Y362/VLOOKUP($C362,CapRate,15),0)&gt;AY361,Y362/VLOOKUP($C362,CapRate,15),AY361)</f>
        <v>48.761408083441985</v>
      </c>
      <c r="AZ362" s="72">
        <f>IF(ROUND(Z362/VLOOKUP($C362,CapRate,16),0)&gt;AZ361,Z362/VLOOKUP($C362,CapRate,16),AZ361)</f>
        <v>56.985055230669261</v>
      </c>
      <c r="BA362" s="72">
        <f>IF(ROUND(AA362/VLOOKUP($C362,CapRate,17),0)&gt;BA361,AA362/VLOOKUP($C362,CapRate,17),BA361)</f>
        <v>65.446371226718043</v>
      </c>
      <c r="BB362" s="72">
        <f>IF(ROUND(AB362/VLOOKUP($C362,CapRate,18),0)&gt;BB361,AB362/VLOOKUP($C362,CapRate,18),BB361)</f>
        <v>72.976418100701068</v>
      </c>
      <c r="BC362" s="72">
        <f>IF(ROUND(AC362/VLOOKUP($C362,CapRate,19),0)&gt;BC361,AC362/VLOOKUP($C362,CapRate,19),BC361)</f>
        <v>81.087919038583181</v>
      </c>
      <c r="BD362" s="72">
        <f>IF(ROUND(AD362/VLOOKUP($C362,CapRate,20),0)&gt;BD361,AD362/VLOOKUP($C362,CapRate,20),BD361)</f>
        <v>89.918084436042847</v>
      </c>
      <c r="BE362" s="72">
        <f>IF(ROUND(AE362/VLOOKUP($C362,CapRate,21),0)&gt;BE361,AE362/VLOOKUP($C362,CapRate,21),BE361)</f>
        <v>97.166246851385395</v>
      </c>
      <c r="BF362" s="72">
        <f>IF(ROUND(AF362/VLOOKUP($C362,CapRate,22),0)&gt;BF361,AF362/VLOOKUP($C362,CapRate,22),BF361)</f>
        <v>100.25204788909892</v>
      </c>
      <c r="BG362" s="72">
        <f>IF(ROUND(AG362/VLOOKUP($C362,CapRate,23),0)&gt;BG361,AG362/VLOOKUP($C362,CapRate,23),BG361)</f>
        <v>103.96725440806047</v>
      </c>
      <c r="BH362" s="72">
        <f>IF(ROUND(AH362/VLOOKUP($C362,CapRate,24),0)&gt;BH361,AH362/VLOOKUP($C362,CapRate,24),BH361)</f>
        <v>108.2545683679899</v>
      </c>
      <c r="BI362" s="72">
        <f>IF(ROUND(AI362/VLOOKUP($C362,CapRate,25),0)&gt;BI361,AI362/VLOOKUP($C362,CapRate,25),BI361)</f>
        <v>108.6489898989899</v>
      </c>
      <c r="BJ362" s="72">
        <f>IF(ROUND(AJ362/VLOOKUP($C362,CapRate,26),0)&gt;BJ361,AJ362/VLOOKUP($C362,CapRate,26),BJ361)</f>
        <v>111.51399491094148</v>
      </c>
      <c r="BK362" s="87">
        <f t="shared" si="70"/>
        <v>2.6369366292453789E-2</v>
      </c>
      <c r="BL362" s="76"/>
      <c r="BM362" s="77"/>
      <c r="BN362" s="77"/>
      <c r="BO362" s="77"/>
      <c r="BP362" s="77">
        <f>BK362</f>
        <v>2.6369366292453789E-2</v>
      </c>
    </row>
    <row r="363" spans="1:70" ht="15.9" customHeight="1" thickBot="1">
      <c r="A363" s="8" t="s">
        <v>155</v>
      </c>
      <c r="B363" s="194"/>
      <c r="C363" s="90" t="s">
        <v>171</v>
      </c>
      <c r="D363" s="195"/>
      <c r="E363" s="132" t="s">
        <v>40</v>
      </c>
      <c r="F363" s="196">
        <f>[1]AcreSummary!J108</f>
        <v>0.24493810496790092</v>
      </c>
      <c r="G363" s="197"/>
      <c r="H363" s="135"/>
      <c r="I363" s="136">
        <f>[1]Dry!E108</f>
        <v>23.31</v>
      </c>
      <c r="J363" s="137">
        <f>[1]Dry!F108</f>
        <v>22.93</v>
      </c>
      <c r="K363" s="138">
        <f>[1]Dry!G108</f>
        <v>23.58</v>
      </c>
      <c r="L363" s="139">
        <f>[1]Dry!H108</f>
        <v>24.56</v>
      </c>
      <c r="M363" s="137">
        <f>[1]Dry!I108</f>
        <v>25.98</v>
      </c>
      <c r="N363" s="140">
        <f>[1]Dry!J108</f>
        <v>27.37</v>
      </c>
      <c r="O363" s="141">
        <v>27.34</v>
      </c>
      <c r="P363" s="140">
        <f>[1]Dry!K108</f>
        <v>27.84</v>
      </c>
      <c r="Q363" s="142">
        <f>[1]Dry!L108</f>
        <v>28.41</v>
      </c>
      <c r="R363" s="143">
        <f>Q363*0.95</f>
        <v>26.9895</v>
      </c>
      <c r="S363" s="144">
        <f>[1]Dry!N108</f>
        <v>28.16</v>
      </c>
      <c r="T363" s="145">
        <f>[1]Dry!O108</f>
        <v>27.85</v>
      </c>
      <c r="U363" s="146">
        <f>[1]Dry!P108</f>
        <v>27.01</v>
      </c>
      <c r="V363" s="139">
        <f>[1]Dry!Q108</f>
        <v>21.56</v>
      </c>
      <c r="W363" s="139">
        <f>[1]Dry!R108</f>
        <v>24.73</v>
      </c>
      <c r="X363" s="139">
        <f>[1]Dry!S108</f>
        <v>26.99</v>
      </c>
      <c r="Y363" s="139">
        <f>[1]Dry!T108</f>
        <v>29.83</v>
      </c>
      <c r="Z363" s="139">
        <v>33.72</v>
      </c>
      <c r="AA363" s="139">
        <v>39.04</v>
      </c>
      <c r="AB363" s="139">
        <v>44.49</v>
      </c>
      <c r="AC363" s="139">
        <v>49.32</v>
      </c>
      <c r="AD363" s="139">
        <v>51.58</v>
      </c>
      <c r="AE363" s="139">
        <v>52.24</v>
      </c>
      <c r="AF363" s="139">
        <v>54.94</v>
      </c>
      <c r="AG363" s="147">
        <v>57.48</v>
      </c>
      <c r="AH363" s="198">
        <v>57.21</v>
      </c>
      <c r="AI363" s="198">
        <v>52.73</v>
      </c>
      <c r="AJ363" s="198">
        <v>49.03</v>
      </c>
      <c r="AK363" s="132">
        <f t="shared" si="63"/>
        <v>153</v>
      </c>
      <c r="AL363" s="132">
        <f t="shared" si="64"/>
        <v>158</v>
      </c>
      <c r="AM363" s="232">
        <f t="shared" si="65"/>
        <v>163</v>
      </c>
      <c r="AN363" s="195">
        <f t="shared" si="66"/>
        <v>176</v>
      </c>
      <c r="AO363" s="232">
        <f t="shared" si="61"/>
        <v>193</v>
      </c>
      <c r="AP363" s="199">
        <f t="shared" si="62"/>
        <v>199</v>
      </c>
      <c r="AQ363" s="233">
        <f t="shared" si="67"/>
        <v>202</v>
      </c>
      <c r="AR363" s="233">
        <f t="shared" si="67"/>
        <v>192</v>
      </c>
      <c r="AS363" s="233">
        <f t="shared" si="71"/>
        <v>200</v>
      </c>
      <c r="AT363" s="233">
        <f t="shared" si="72"/>
        <v>197</v>
      </c>
      <c r="AU363" s="233">
        <f t="shared" si="69"/>
        <v>190</v>
      </c>
      <c r="AV363" s="199">
        <f t="shared" si="68"/>
        <v>145</v>
      </c>
      <c r="AW363" s="199">
        <f>ROUND(W363/VLOOKUP($C363,CapRate,13),0)</f>
        <v>164</v>
      </c>
      <c r="AX363" s="199">
        <f>ROUND(X363/VLOOKUP($C363,CapRate,14),0)</f>
        <v>178</v>
      </c>
      <c r="AY363" s="199">
        <f>ROUND(Y363/VLOOKUP($C363,CapRate,15),0)</f>
        <v>194</v>
      </c>
      <c r="AZ363" s="199">
        <f>ROUND(Z363/VLOOKUP($C363,CapRate,16),0)</f>
        <v>219</v>
      </c>
      <c r="BA363" s="199">
        <f>ROUND(AA363/VLOOKUP($C363,CapRate,17),0)</f>
        <v>251</v>
      </c>
      <c r="BB363" s="199">
        <f>ROUND(AB363/VLOOKUP($C363,CapRate,18),0)</f>
        <v>284</v>
      </c>
      <c r="BC363" s="199">
        <f>ROUND(AC363/VLOOKUP($C363,CapRate,19),0)</f>
        <v>312</v>
      </c>
      <c r="BD363" s="199">
        <f>ROUND(AD363/VLOOKUP($C363,CapRate,20),0)</f>
        <v>325</v>
      </c>
      <c r="BE363" s="199">
        <f>ROUND(AE363/VLOOKUP($C363,CapRate,21),0)</f>
        <v>329</v>
      </c>
      <c r="BF363" s="199">
        <f>ROUND(AF363/VLOOKUP($C363,CapRate,22),0)</f>
        <v>346</v>
      </c>
      <c r="BG363" s="199">
        <f>ROUND(AG363/VLOOKUP($C363,CapRate,23),0)</f>
        <v>362</v>
      </c>
      <c r="BH363" s="199">
        <f>ROUND(AH363/VLOOKUP($C363,CapRate,24),0)</f>
        <v>360</v>
      </c>
      <c r="BI363" s="199">
        <f>ROUND(AI363/VLOOKUP($C363,CapRate,25),0)</f>
        <v>333</v>
      </c>
      <c r="BJ363" s="199">
        <f>ROUND(AJ363/VLOOKUP($C363,CapRate,26),0)</f>
        <v>312</v>
      </c>
      <c r="BK363" s="234">
        <f t="shared" si="70"/>
        <v>-6.3063063063063085E-2</v>
      </c>
      <c r="BL363" s="200">
        <f>((F361*BK361)+(F362*BK362)+(F363*BK363))</f>
        <v>4.4583293139806024E-3</v>
      </c>
      <c r="BM363" s="226"/>
      <c r="BN363" s="227">
        <f>BK363</f>
        <v>-6.3063063063063085E-2</v>
      </c>
      <c r="BO363" s="227"/>
      <c r="BP363" s="227"/>
      <c r="BQ363" s="132"/>
      <c r="BR363" s="187"/>
    </row>
    <row r="364" spans="1:70">
      <c r="A364" s="8"/>
      <c r="B364" s="194"/>
      <c r="C364" s="8"/>
      <c r="D364" s="8"/>
      <c r="E364" s="8"/>
      <c r="F364" s="8"/>
      <c r="G364" s="21"/>
      <c r="H364" s="117"/>
      <c r="I364" s="8"/>
      <c r="J364" s="8"/>
      <c r="K364" s="8"/>
      <c r="L364" s="8"/>
      <c r="N364" s="8"/>
      <c r="O364" s="8"/>
      <c r="P364" s="8"/>
      <c r="Q364" s="8"/>
      <c r="R364" s="8"/>
      <c r="S364" s="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9"/>
      <c r="AH364" s="69"/>
      <c r="AI364" s="69"/>
      <c r="AJ364" s="69"/>
      <c r="AK364" s="8"/>
      <c r="AL364" s="8"/>
      <c r="AM364" s="8"/>
      <c r="AN364" s="8"/>
      <c r="AO364" s="8"/>
      <c r="AP364" s="8"/>
      <c r="AQ364" s="162"/>
      <c r="AR364" s="162"/>
      <c r="AS364" s="162"/>
      <c r="AT364" s="162"/>
      <c r="AU364" s="162"/>
      <c r="AV364" s="162"/>
      <c r="AW364" s="162"/>
      <c r="AX364" s="162"/>
      <c r="AY364" s="162"/>
      <c r="AZ364" s="162"/>
      <c r="BA364" s="162"/>
      <c r="BB364" s="162"/>
      <c r="BC364" s="162"/>
      <c r="BD364" s="162"/>
      <c r="BE364" s="162"/>
      <c r="BF364" s="162"/>
      <c r="BG364" s="162"/>
      <c r="BH364" s="162"/>
      <c r="BI364" s="162"/>
      <c r="BJ364" s="162"/>
      <c r="BK364" s="77"/>
      <c r="BL364" s="77"/>
      <c r="BM364" s="77"/>
      <c r="BN364" s="77"/>
      <c r="BO364" s="77"/>
      <c r="BP364" s="77"/>
    </row>
    <row r="365" spans="1:70">
      <c r="A365" s="8"/>
      <c r="B365" s="21"/>
      <c r="C365" s="8"/>
      <c r="D365" s="8"/>
      <c r="E365" s="8"/>
      <c r="F365" s="8"/>
      <c r="G365" s="21"/>
      <c r="H365" s="117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9"/>
      <c r="AH365" s="69"/>
      <c r="AI365" s="69"/>
      <c r="AJ365" s="69"/>
      <c r="AK365" s="8"/>
      <c r="AL365" s="8"/>
      <c r="AM365" s="8"/>
      <c r="AN365" s="8"/>
      <c r="AO365" s="8"/>
      <c r="AP365" s="8"/>
      <c r="AQ365" s="162"/>
      <c r="AR365" s="162"/>
      <c r="AS365" s="162"/>
      <c r="AT365" s="162"/>
      <c r="AU365" s="162"/>
      <c r="AV365" s="162"/>
      <c r="AW365" s="162"/>
      <c r="AX365" s="162"/>
      <c r="AY365" s="162"/>
      <c r="AZ365" s="162"/>
      <c r="BA365" s="162"/>
      <c r="BB365" s="162"/>
      <c r="BC365" s="162"/>
      <c r="BD365" s="162"/>
      <c r="BE365" s="162"/>
      <c r="BF365" s="162"/>
      <c r="BG365" s="162"/>
      <c r="BH365" s="162"/>
      <c r="BI365" s="162"/>
      <c r="BJ365" s="162"/>
      <c r="BK365" s="77"/>
      <c r="BL365" s="77"/>
      <c r="BM365" s="77"/>
      <c r="BN365" s="77"/>
      <c r="BO365" s="77"/>
      <c r="BP365" s="77"/>
    </row>
    <row r="366" spans="1:70">
      <c r="A366" s="9"/>
      <c r="B366" s="21"/>
      <c r="C366" s="9"/>
      <c r="H366" s="235"/>
      <c r="S366" s="2"/>
      <c r="AP366" s="2"/>
      <c r="BK366" s="238"/>
      <c r="BL366" s="238">
        <f>AVERAGE(BL5:BL363)</f>
        <v>-6.8849656426615377E-2</v>
      </c>
      <c r="BM366" s="238"/>
      <c r="BN366" s="238"/>
      <c r="BO366" s="238"/>
      <c r="BP366" s="238"/>
    </row>
    <row r="368" spans="1:70">
      <c r="BL368" s="238">
        <f>AVERAGE(BL7:BL28)</f>
        <v>-4.6795982537686603E-2</v>
      </c>
    </row>
    <row r="369" spans="64:64">
      <c r="BL369" s="238">
        <f>AVERAGE(BL36:BL363)</f>
        <v>-7.0668516128795059E-2</v>
      </c>
    </row>
  </sheetData>
  <printOptions horizontalCentered="1" gridLines="1"/>
  <pageMargins left="0.25" right="0.25" top="0.75" bottom="0.5" header="0.25" footer="0.15"/>
  <pageSetup scale="83" orientation="portrait" r:id="rId1"/>
  <headerFooter alignWithMargins="0">
    <oddHeader xml:space="preserve">&amp;C&amp;"Times New Roman,Bold"&amp;18Agricultural Land Base Value Comparrison 2024 to 2025
&amp;"Geneva,Regular"&amp;10
</oddHeader>
    <oddFooter>&amp;L&amp;"Times New Roman,Regular"&amp;12Prepared by PVD&amp;C&amp;"Times New Roman,Regular"Page &amp;P of &amp;N&amp;R&amp;"Times New Roman,Regular"&amp;12February 24, 2025</oddFooter>
  </headerFooter>
  <rowBreaks count="8" manualBreakCount="8">
    <brk id="35" max="16383" man="1"/>
    <brk id="62" max="16383" man="1"/>
    <brk id="104" max="16383" man="1"/>
    <brk id="148" max="16383" man="1"/>
    <brk id="191" max="16383" man="1"/>
    <brk id="243" max="16383" man="1"/>
    <brk id="276" max="16383" man="1"/>
    <brk id="3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2024 v 2025 hard code</vt:lpstr>
      <vt:lpstr>'2024 v 2025 hard code'!Print_Area</vt:lpstr>
      <vt:lpstr>Sheet1!Print_Area</vt:lpstr>
      <vt:lpstr>'2024 v 2025 hard code'!Print_Titles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Gehr [KDOR]</dc:creator>
  <cp:lastModifiedBy>John Waldo [KDOR]</cp:lastModifiedBy>
  <cp:lastPrinted>2025-04-15T14:04:10Z</cp:lastPrinted>
  <dcterms:created xsi:type="dcterms:W3CDTF">2025-03-27T15:08:03Z</dcterms:created>
  <dcterms:modified xsi:type="dcterms:W3CDTF">2025-04-15T15:39:23Z</dcterms:modified>
</cp:coreProperties>
</file>