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vdfs\pvd\Affordable-Subsidized Housing\2024 Update\2024 Update-MASTER\2024 GUIDE-TEMPLATES-WORKSHOP\2024 Website Update Folder\"/>
    </mc:Choice>
  </mc:AlternateContent>
  <xr:revisionPtr revIDLastSave="0" documentId="13_ncr:1_{FD33605C-A136-4A8B-881C-0D4F48D5ECC3}" xr6:coauthVersionLast="47" xr6:coauthVersionMax="47" xr10:uidLastSave="{00000000-0000-0000-0000-000000000000}"/>
  <bookViews>
    <workbookView xWindow="28680" yWindow="-120" windowWidth="29040" windowHeight="15720" tabRatio="814" xr2:uid="{00000000-000D-0000-FFFF-FFFF00000000}"/>
  </bookViews>
  <sheets>
    <sheet name="PVD2024" sheetId="69" r:id="rId1"/>
    <sheet name="IREMEx" sheetId="34" state="hidden" r:id="rId2"/>
    <sheet name="IREMEx(2)" sheetId="68" state="hidden" r:id="rId3"/>
  </sheets>
  <definedNames>
    <definedName name="ApartmentType" localSheetId="0">'PVD2024'!#REF!</definedName>
    <definedName name="ApartmentType">#REF!</definedName>
    <definedName name="Apt" localSheetId="0">'PVD2024'!#REF!</definedName>
    <definedName name="Apt">#REF!</definedName>
    <definedName name="Baths" localSheetId="0">#REF!</definedName>
    <definedName name="Baths">#REF!</definedName>
    <definedName name="Bedrooms" localSheetId="0">#REF!</definedName>
    <definedName name="Bedrooms">#REF!</definedName>
    <definedName name="CountyName" localSheetId="0">'PVD2024'!$L$4</definedName>
    <definedName name="CountyName">#REF!</definedName>
    <definedName name="CountyNo" localSheetId="0">'PVD2024'!$D$5</definedName>
    <definedName name="CountyNo">#REF!</definedName>
    <definedName name="No._of_Baths" localSheetId="0">'PVD2024'!$J$12</definedName>
    <definedName name="No._of_Baths">#REF!</definedName>
    <definedName name="_xlnm.Print_Area" localSheetId="0">'PVD2024'!$A$1:$M$148</definedName>
    <definedName name="Program_Type" localSheetId="0">'PVD2024'!$B$12</definedName>
    <definedName name="Program_Type">#REF!</definedName>
    <definedName name="Utilities_Paid?" localSheetId="0">'PVD2024'!#REF!</definedName>
    <definedName name="Z_550D0E90_4F19_4297_972F_6B3971C74C87_.wvu.PrintArea" localSheetId="0" hidden="1">'PVD2024'!$C$3:$M$67</definedName>
  </definedNames>
  <calcPr calcId="191029"/>
  <customWorkbookViews>
    <customWorkbookView name="Bob Kent - Personal View" guid="{550D0E90-4F19-4297-972F-6B3971C74C87}" mergeInterval="0" personalView="1" maximized="1" xWindow="-8" yWindow="-8" windowWidth="1616" windowHeight="886" tabRatio="59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69" l="1"/>
  <c r="D82" i="69" l="1"/>
  <c r="F82" i="69"/>
  <c r="H82" i="69"/>
  <c r="J82" i="69"/>
  <c r="H86" i="69"/>
  <c r="H88" i="69" s="1"/>
  <c r="F139" i="69" l="1"/>
  <c r="H122" i="69"/>
  <c r="L107" i="69"/>
  <c r="H104" i="69"/>
  <c r="F98" i="69"/>
  <c r="O88" i="69"/>
  <c r="H103" i="69"/>
  <c r="H98" i="69"/>
  <c r="D98" i="69"/>
  <c r="J44" i="69"/>
  <c r="H44" i="69"/>
  <c r="H47" i="69" s="1"/>
  <c r="F44" i="69"/>
  <c r="D44" i="69"/>
  <c r="D47" i="69" s="1"/>
  <c r="R42" i="69"/>
  <c r="Q42" i="69"/>
  <c r="P42" i="69"/>
  <c r="O42" i="69"/>
  <c r="R41" i="69"/>
  <c r="Q41" i="69"/>
  <c r="P41" i="69"/>
  <c r="O41" i="69"/>
  <c r="R40" i="69"/>
  <c r="Q40" i="69"/>
  <c r="P40" i="69"/>
  <c r="O40" i="69"/>
  <c r="R39" i="69"/>
  <c r="Q39" i="69"/>
  <c r="P39" i="69"/>
  <c r="O39" i="69"/>
  <c r="R38" i="69"/>
  <c r="Q38" i="69"/>
  <c r="P38" i="69"/>
  <c r="O38" i="69"/>
  <c r="R37" i="69"/>
  <c r="Q37" i="69"/>
  <c r="P37" i="69"/>
  <c r="O37" i="69"/>
  <c r="J33" i="69"/>
  <c r="H33" i="69"/>
  <c r="F33" i="69"/>
  <c r="D33" i="69"/>
  <c r="R30" i="69"/>
  <c r="Q30" i="69"/>
  <c r="P30" i="69"/>
  <c r="O30" i="69"/>
  <c r="H27" i="69"/>
  <c r="F27" i="69"/>
  <c r="D27" i="69"/>
  <c r="R26" i="69"/>
  <c r="Q26" i="69"/>
  <c r="P26" i="69"/>
  <c r="O26" i="69"/>
  <c r="R25" i="69"/>
  <c r="Q25" i="69"/>
  <c r="P25" i="69"/>
  <c r="O25" i="69"/>
  <c r="R24" i="69"/>
  <c r="Q24" i="69"/>
  <c r="P24" i="69"/>
  <c r="O24" i="69"/>
  <c r="M20" i="69"/>
  <c r="L20" i="69"/>
  <c r="H20" i="69"/>
  <c r="F20" i="69"/>
  <c r="K19" i="69"/>
  <c r="K18" i="69"/>
  <c r="K17" i="69"/>
  <c r="K16" i="69"/>
  <c r="K15" i="69"/>
  <c r="K14" i="69"/>
  <c r="K13" i="69"/>
  <c r="K12" i="69"/>
  <c r="P43" i="69" l="1"/>
  <c r="D83" i="69"/>
  <c r="D99" i="69" s="1"/>
  <c r="H99" i="69"/>
  <c r="H83" i="69"/>
  <c r="H34" i="69"/>
  <c r="O43" i="69"/>
  <c r="R43" i="69"/>
  <c r="Q43" i="69"/>
  <c r="I45" i="69"/>
  <c r="H48" i="69"/>
  <c r="F34" i="69"/>
  <c r="G45" i="69" s="1"/>
  <c r="D34" i="69"/>
  <c r="D49" i="69" s="1"/>
  <c r="K20" i="69"/>
  <c r="J27" i="69"/>
  <c r="L33" i="69" s="1"/>
  <c r="F47" i="69"/>
  <c r="F83" i="69" s="1"/>
  <c r="H105" i="69"/>
  <c r="H124" i="69" s="1"/>
  <c r="H49" i="69"/>
  <c r="J47" i="69"/>
  <c r="J83" i="69" s="1"/>
  <c r="H84" i="69" l="1"/>
  <c r="H100" i="69" s="1"/>
  <c r="D48" i="69"/>
  <c r="E45" i="69"/>
  <c r="F48" i="69"/>
  <c r="J34" i="69"/>
  <c r="J49" i="69" s="1"/>
  <c r="L30" i="69"/>
  <c r="L31" i="69"/>
  <c r="L32" i="69"/>
  <c r="F99" i="69"/>
  <c r="F49" i="69"/>
  <c r="J99" i="69"/>
  <c r="F84" i="69" l="1"/>
  <c r="F100" i="69" s="1"/>
  <c r="D84" i="69"/>
  <c r="D100" i="69" s="1"/>
  <c r="L43" i="69"/>
  <c r="K45" i="69"/>
  <c r="L37" i="69"/>
  <c r="L44" i="69"/>
  <c r="L39" i="69"/>
  <c r="L42" i="69"/>
  <c r="F141" i="69"/>
  <c r="F143" i="69" s="1"/>
  <c r="F145" i="69" s="1"/>
  <c r="L34" i="69"/>
  <c r="L40" i="69"/>
  <c r="J48" i="69"/>
  <c r="L41" i="69"/>
  <c r="L38" i="69"/>
  <c r="J84" i="69" l="1"/>
  <c r="H89" i="69" s="1"/>
  <c r="H90" i="69" l="1"/>
  <c r="H91" i="69" s="1"/>
  <c r="J100" i="69"/>
  <c r="H92" i="69" l="1"/>
  <c r="H93" i="69" s="1"/>
  <c r="H109" i="69" s="1"/>
  <c r="H106" i="69"/>
  <c r="H107" i="69" s="1"/>
  <c r="H108" i="69" s="1"/>
  <c r="H112" i="69" s="1"/>
  <c r="D122" i="69"/>
  <c r="F125" i="69" l="1"/>
  <c r="F122" i="69"/>
  <c r="H125" i="69" l="1"/>
  <c r="F126" i="69"/>
  <c r="F127" i="69" l="1"/>
  <c r="H126" i="69"/>
  <c r="F128" i="69" l="1"/>
  <c r="H127" i="69"/>
  <c r="H128" i="69" l="1"/>
  <c r="F129" i="69"/>
  <c r="F130" i="69" l="1"/>
  <c r="H129" i="69"/>
  <c r="F131" i="69" l="1"/>
  <c r="H131" i="69" s="1"/>
  <c r="H130" i="69"/>
  <c r="BQ19" i="34"/>
  <c r="BP19" i="34"/>
  <c r="BO19" i="34"/>
  <c r="BK19" i="34"/>
  <c r="BC19" i="34"/>
  <c r="BB19" i="34"/>
  <c r="BA19" i="34"/>
  <c r="AZ19" i="34"/>
  <c r="AY19" i="34"/>
  <c r="AX19" i="34"/>
  <c r="AW19" i="34"/>
  <c r="AV19" i="34"/>
  <c r="AU19" i="34"/>
  <c r="AT19" i="34"/>
  <c r="AS19" i="34"/>
  <c r="AR19" i="34"/>
  <c r="AQ19" i="34"/>
  <c r="AP19" i="34"/>
  <c r="AO19" i="34"/>
  <c r="AN19" i="34"/>
  <c r="AM19" i="34"/>
  <c r="AL19" i="34"/>
  <c r="AK19" i="34"/>
  <c r="AJ19" i="34"/>
  <c r="AI19" i="34"/>
  <c r="AH19" i="34"/>
  <c r="AG19" i="34"/>
  <c r="AF19" i="34"/>
  <c r="AE19" i="34"/>
  <c r="AD19" i="34"/>
  <c r="AC19" i="34"/>
  <c r="AB19" i="34"/>
  <c r="AA19" i="34"/>
  <c r="Z19" i="34"/>
  <c r="Y19" i="34"/>
  <c r="X19" i="34"/>
  <c r="W19" i="34"/>
  <c r="V19" i="34"/>
  <c r="U19" i="34"/>
  <c r="P19" i="34"/>
  <c r="O19" i="34"/>
  <c r="N19" i="34"/>
  <c r="M19" i="34"/>
  <c r="L19" i="34"/>
  <c r="K19" i="34"/>
  <c r="J19" i="34"/>
  <c r="I19" i="34"/>
  <c r="BQ18" i="34"/>
  <c r="BP18" i="34"/>
  <c r="BO18" i="34"/>
  <c r="BK18" i="34"/>
  <c r="BC18" i="34"/>
  <c r="BB18" i="34"/>
  <c r="BA18" i="34"/>
  <c r="AZ18" i="34"/>
  <c r="AY18" i="34"/>
  <c r="AX18"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P18" i="34"/>
  <c r="O18" i="34"/>
  <c r="N18" i="34"/>
  <c r="M18" i="34"/>
  <c r="L18" i="34"/>
  <c r="K18" i="34"/>
  <c r="J18" i="34"/>
  <c r="I18" i="34"/>
  <c r="BH17" i="34"/>
  <c r="BG17" i="34"/>
  <c r="BD17" i="34"/>
  <c r="H17" i="34"/>
  <c r="BH16" i="34"/>
  <c r="BG16" i="34"/>
  <c r="BD16" i="34"/>
  <c r="H16" i="34"/>
  <c r="BH15" i="34"/>
  <c r="BG15" i="34"/>
  <c r="BD15" i="34"/>
  <c r="H15" i="34"/>
  <c r="BH14" i="34"/>
  <c r="BG14" i="34"/>
  <c r="BD14" i="34"/>
  <c r="H14" i="34"/>
  <c r="BH13" i="34"/>
  <c r="BG13" i="34"/>
  <c r="BD13" i="34"/>
  <c r="H13" i="34"/>
  <c r="BH12" i="34"/>
  <c r="BG12" i="34"/>
  <c r="BD12" i="34"/>
  <c r="H12" i="34"/>
  <c r="BH11" i="34"/>
  <c r="BG11" i="34"/>
  <c r="BD11" i="34"/>
  <c r="H11" i="34"/>
  <c r="BH10" i="34"/>
  <c r="BG10" i="34"/>
  <c r="BD10" i="34"/>
  <c r="H10" i="34"/>
  <c r="BH9" i="34"/>
  <c r="BG9" i="34"/>
  <c r="BD9" i="34"/>
  <c r="H9" i="34"/>
  <c r="BH8" i="34"/>
  <c r="BG8" i="34"/>
  <c r="BD8" i="34"/>
  <c r="H8" i="34"/>
  <c r="BH7" i="34"/>
  <c r="BG7" i="34"/>
  <c r="BF7" i="34"/>
  <c r="BE7" i="34"/>
  <c r="BD7" i="34"/>
  <c r="H7" i="34"/>
  <c r="BH6" i="34"/>
  <c r="BG6" i="34"/>
  <c r="BD6" i="34"/>
  <c r="H6" i="34"/>
  <c r="BH5" i="34"/>
  <c r="BG5" i="34"/>
  <c r="BF5" i="34"/>
  <c r="BE5" i="34"/>
  <c r="BD5" i="34"/>
  <c r="H5" i="34"/>
  <c r="BI4" i="34"/>
  <c r="BH4" i="34"/>
  <c r="BG4" i="34"/>
  <c r="BF4" i="34"/>
  <c r="BE4" i="34"/>
  <c r="BD4" i="34"/>
  <c r="H4" i="34"/>
  <c r="H132" i="69" l="1"/>
  <c r="H114" i="69" s="1"/>
  <c r="H116" i="69" s="1"/>
  <c r="H117" i="69" s="1"/>
  <c r="H118" i="69" s="1"/>
  <c r="F132" i="69"/>
  <c r="BD18" i="34"/>
  <c r="BG19" i="34"/>
  <c r="BE18" i="34"/>
  <c r="BG18" i="34"/>
  <c r="BF18" i="34"/>
  <c r="BD19" i="34"/>
  <c r="BE19" i="34"/>
  <c r="BF19" i="34"/>
  <c r="AR18" i="68" l="1"/>
  <c r="H17" i="68" l="1"/>
  <c r="H5" i="68"/>
  <c r="H6" i="68"/>
  <c r="H7" i="68"/>
  <c r="H8" i="68"/>
  <c r="H9" i="68"/>
  <c r="H10" i="68"/>
  <c r="H11" i="68"/>
  <c r="H12" i="68"/>
  <c r="H13" i="68"/>
  <c r="H14" i="68"/>
  <c r="H15" i="68"/>
  <c r="H16" i="68"/>
  <c r="H4" i="68"/>
  <c r="BQ19" i="68"/>
  <c r="BP19" i="68"/>
  <c r="BO19" i="68"/>
  <c r="BK19" i="68"/>
  <c r="BC19" i="68"/>
  <c r="BB19" i="68"/>
  <c r="BA19" i="68"/>
  <c r="AZ19" i="68"/>
  <c r="AY19" i="68"/>
  <c r="AX19" i="68"/>
  <c r="AW19" i="68"/>
  <c r="AV19" i="68"/>
  <c r="AU19" i="68"/>
  <c r="AT19" i="68"/>
  <c r="AS19" i="68"/>
  <c r="AR19" i="68"/>
  <c r="AQ19" i="68"/>
  <c r="AP19" i="68"/>
  <c r="AO19" i="68"/>
  <c r="AN19" i="68"/>
  <c r="AM19" i="68"/>
  <c r="AL19" i="68"/>
  <c r="AK19" i="68"/>
  <c r="AJ19" i="68"/>
  <c r="AI19" i="68"/>
  <c r="AH19" i="68"/>
  <c r="AG19" i="68"/>
  <c r="AF19" i="68"/>
  <c r="AE19" i="68"/>
  <c r="AD19" i="68"/>
  <c r="AC19" i="68"/>
  <c r="AB19" i="68"/>
  <c r="AA19" i="68"/>
  <c r="Z19" i="68"/>
  <c r="Y19" i="68"/>
  <c r="X19" i="68"/>
  <c r="W19" i="68"/>
  <c r="V19" i="68"/>
  <c r="U19" i="68"/>
  <c r="P19" i="68"/>
  <c r="O19" i="68"/>
  <c r="N19" i="68"/>
  <c r="M19" i="68"/>
  <c r="L19" i="68"/>
  <c r="K19" i="68"/>
  <c r="J19" i="68"/>
  <c r="I19" i="68"/>
  <c r="BQ18" i="68"/>
  <c r="BP18" i="68"/>
  <c r="BO18" i="68"/>
  <c r="BK18" i="68"/>
  <c r="BC18" i="68"/>
  <c r="BB18" i="68"/>
  <c r="BA18" i="68"/>
  <c r="AZ18" i="68"/>
  <c r="AY18" i="68"/>
  <c r="AX18" i="68"/>
  <c r="AW18" i="68"/>
  <c r="AV18" i="68"/>
  <c r="AU18" i="68"/>
  <c r="AT18" i="68"/>
  <c r="AS18" i="68"/>
  <c r="AQ18" i="68"/>
  <c r="AP18" i="68"/>
  <c r="AO18" i="68"/>
  <c r="AN18" i="68"/>
  <c r="AM18" i="68"/>
  <c r="AL18" i="68"/>
  <c r="AK18" i="68"/>
  <c r="AJ18" i="68"/>
  <c r="AI18" i="68"/>
  <c r="AH18" i="68"/>
  <c r="AG18" i="68"/>
  <c r="AF18" i="68"/>
  <c r="AE18" i="68"/>
  <c r="AD18" i="68"/>
  <c r="AC18" i="68"/>
  <c r="AB18" i="68"/>
  <c r="AA18" i="68"/>
  <c r="Z18" i="68"/>
  <c r="Y18" i="68"/>
  <c r="X18" i="68"/>
  <c r="W18" i="68"/>
  <c r="V18" i="68"/>
  <c r="U18" i="68"/>
  <c r="P18" i="68"/>
  <c r="O18" i="68"/>
  <c r="N18" i="68"/>
  <c r="M18" i="68"/>
  <c r="L18" i="68"/>
  <c r="K18" i="68"/>
  <c r="J18" i="68"/>
  <c r="I18" i="68"/>
  <c r="BH17" i="68"/>
  <c r="BG17" i="68"/>
  <c r="BD17" i="68"/>
  <c r="BH16" i="68"/>
  <c r="BG16" i="68"/>
  <c r="BD16" i="68"/>
  <c r="BH15" i="68"/>
  <c r="BG15" i="68"/>
  <c r="BD15" i="68"/>
  <c r="BH14" i="68"/>
  <c r="BG14" i="68"/>
  <c r="BD14" i="68"/>
  <c r="BH13" i="68"/>
  <c r="BG13" i="68"/>
  <c r="BD13" i="68"/>
  <c r="BH12" i="68"/>
  <c r="BG12" i="68"/>
  <c r="BD12" i="68"/>
  <c r="BH11" i="68"/>
  <c r="BG11" i="68"/>
  <c r="BD11" i="68"/>
  <c r="BH10" i="68"/>
  <c r="BG10" i="68"/>
  <c r="BD10" i="68"/>
  <c r="BH9" i="68"/>
  <c r="BG9" i="68"/>
  <c r="BD9" i="68"/>
  <c r="BH8" i="68"/>
  <c r="BG8" i="68"/>
  <c r="BD8" i="68"/>
  <c r="BH7" i="68"/>
  <c r="BG7" i="68"/>
  <c r="BF7" i="68"/>
  <c r="BE7" i="68"/>
  <c r="BD7" i="68"/>
  <c r="BH6" i="68"/>
  <c r="BG6" i="68"/>
  <c r="BD6" i="68"/>
  <c r="BH5" i="68"/>
  <c r="BG5" i="68"/>
  <c r="BF5" i="68"/>
  <c r="BE5" i="68"/>
  <c r="BD5" i="68"/>
  <c r="BI4" i="68"/>
  <c r="BH4" i="68"/>
  <c r="BG4" i="68"/>
  <c r="BF4" i="68"/>
  <c r="BE4" i="68"/>
  <c r="BD4" i="68"/>
  <c r="BG18" i="68" l="1"/>
  <c r="BD18" i="68"/>
  <c r="BE18" i="68"/>
  <c r="BF18" i="68"/>
  <c r="BD19" i="68"/>
  <c r="BE19" i="68"/>
  <c r="BG19" i="68"/>
  <c r="BF19"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Kent</author>
  </authors>
  <commentList>
    <comment ref="A5" authorId="0" shapeId="0" xr:uid="{12A961C1-2C87-4988-803E-42159E86E627}">
      <text>
        <r>
          <rPr>
            <sz val="8"/>
            <color indexed="81"/>
            <rFont val="Tahoma"/>
            <family val="2"/>
          </rPr>
          <t>Input the enitre parcel ID beginning with the 3 digit county number.</t>
        </r>
      </text>
    </comment>
    <comment ref="A43" authorId="0" shapeId="0" xr:uid="{5D387E84-C584-4385-8A05-8AAA974AF047}">
      <text>
        <r>
          <rPr>
            <sz val="8"/>
            <color indexed="81"/>
            <rFont val="Tahoma"/>
            <family val="2"/>
          </rPr>
          <t>Explain additional expenses in the comments section on the back of this form.</t>
        </r>
      </text>
    </comment>
    <comment ref="A50" authorId="0" shapeId="0" xr:uid="{36124DEE-E1B9-4D35-9398-601A4647F56B}">
      <text>
        <r>
          <rPr>
            <sz val="8"/>
            <color indexed="81"/>
            <rFont val="Tahoma"/>
            <family val="2"/>
          </rPr>
          <t>Real estate taxes will not be included as an expense item but will be included in the overall capitalization rate in the reconciliation.</t>
        </r>
        <r>
          <rPr>
            <sz val="9"/>
            <color indexed="81"/>
            <rFont val="Tahoma"/>
            <family val="2"/>
          </rPr>
          <t xml:space="preserve">
</t>
        </r>
      </text>
    </comment>
    <comment ref="H86" authorId="0" shapeId="0" xr:uid="{08264858-B298-495D-B6DC-4EC24E210FA0}">
      <text>
        <r>
          <rPr>
            <sz val="8"/>
            <color indexed="81"/>
            <rFont val="Tahoma"/>
            <family val="2"/>
          </rPr>
          <t>Calculated from indicated mill levy X assessment rate.</t>
        </r>
      </text>
    </comment>
    <comment ref="H87" authorId="0" shapeId="0" xr:uid="{DFA24B72-C8A4-4A7F-BBC6-5A906CD2B3C2}">
      <text>
        <r>
          <rPr>
            <sz val="8"/>
            <color indexed="81"/>
            <rFont val="Tahoma"/>
            <family val="2"/>
          </rPr>
          <t xml:space="preserve">Enter the base </t>
        </r>
        <r>
          <rPr>
            <u/>
            <sz val="8"/>
            <color indexed="81"/>
            <rFont val="Tahoma"/>
            <family val="2"/>
          </rPr>
          <t>unloaded</t>
        </r>
        <r>
          <rPr>
            <sz val="8"/>
            <color indexed="81"/>
            <rFont val="Tahoma"/>
            <family val="2"/>
          </rPr>
          <t xml:space="preserve"> capitalization rate (excluding the ETR).</t>
        </r>
      </text>
    </comment>
  </commentList>
</comments>
</file>

<file path=xl/sharedStrings.xml><?xml version="1.0" encoding="utf-8"?>
<sst xmlns="http://schemas.openxmlformats.org/spreadsheetml/2006/main" count="665" uniqueCount="402">
  <si>
    <t>INCOME</t>
  </si>
  <si>
    <t>Other</t>
  </si>
  <si>
    <t>EFFECTIVE GROSS INCOME</t>
  </si>
  <si>
    <t>POTENTIAL GROSS INCOME</t>
  </si>
  <si>
    <t>Utilities</t>
  </si>
  <si>
    <t>Real Estate Taxes</t>
  </si>
  <si>
    <t>Management Fee</t>
  </si>
  <si>
    <t>Baths</t>
  </si>
  <si>
    <t>APARTMENT INVENTORY</t>
  </si>
  <si>
    <t>2016 Year</t>
  </si>
  <si>
    <t>2017 Year</t>
  </si>
  <si>
    <t>1 Bedroom</t>
  </si>
  <si>
    <t>Studio/Efficiency</t>
  </si>
  <si>
    <t>2 Bedroom</t>
  </si>
  <si>
    <t>3 Bedroom</t>
  </si>
  <si>
    <t>4 Bedroom</t>
  </si>
  <si>
    <t>Bedrooms</t>
  </si>
  <si>
    <t>EXPENSES</t>
  </si>
  <si>
    <t>INCOME CAPITALIZATION RECONCILIATION</t>
  </si>
  <si>
    <t>TOTAL EXPENSES w/o TAXES</t>
  </si>
  <si>
    <t>Stabilized</t>
  </si>
  <si>
    <t>For County Appraiser's Use Only</t>
  </si>
  <si>
    <t>Other Expense</t>
  </si>
  <si>
    <t>Program</t>
  </si>
  <si>
    <t>Program Type</t>
  </si>
  <si>
    <t>Sec 515</t>
  </si>
  <si>
    <t>Sec 202</t>
  </si>
  <si>
    <t>Sec 811</t>
  </si>
  <si>
    <t># Units</t>
  </si>
  <si>
    <t># Baths</t>
  </si>
  <si>
    <t xml:space="preserve">Effective Tax Rate </t>
  </si>
  <si>
    <t xml:space="preserve">Overall Capitalization Rate </t>
  </si>
  <si>
    <t xml:space="preserve">NET OPERATING INCOME </t>
  </si>
  <si>
    <t xml:space="preserve">INDICATED VALUE ROUNDED </t>
  </si>
  <si>
    <t xml:space="preserve">Capitalization Rate </t>
  </si>
  <si>
    <t>Conventional</t>
  </si>
  <si>
    <t>ANNUAL RENT ROLL SUMMARY</t>
  </si>
  <si>
    <t>Insurance</t>
  </si>
  <si>
    <t>OVERALL EXPENSE RATIO</t>
  </si>
  <si>
    <t xml:space="preserve">Printed Name  </t>
  </si>
  <si>
    <t xml:space="preserve">Signature  </t>
  </si>
  <si>
    <t xml:space="preserve">Date  </t>
  </si>
  <si>
    <t>Rental Income</t>
  </si>
  <si>
    <t>Vacancy</t>
  </si>
  <si>
    <t>I hereby certify the information submitted in this report is accurate and complete to the best of my knowledge. I further certify there are no depreciable expenses or interest payments included in the expense categories within this report.</t>
  </si>
  <si>
    <t>Uncollected Rent (2)</t>
  </si>
  <si>
    <t>VACANCY &amp; COLLECTION LOSS</t>
  </si>
  <si>
    <t>2018 Year</t>
  </si>
  <si>
    <t>Other Income</t>
  </si>
  <si>
    <t>Other Income - Garages</t>
  </si>
  <si>
    <t>Administrative Fees</t>
  </si>
  <si>
    <t>Maintenance</t>
  </si>
  <si>
    <t>Project Type</t>
  </si>
  <si>
    <t>Bldg</t>
  </si>
  <si>
    <t>Med</t>
  </si>
  <si>
    <t>Min</t>
  </si>
  <si>
    <t>Max</t>
  </si>
  <si>
    <t>Median</t>
  </si>
  <si>
    <t>Parking
Units</t>
  </si>
  <si>
    <t>PARKING</t>
  </si>
  <si>
    <t>Parking</t>
  </si>
  <si>
    <t>Other Income (1)</t>
  </si>
  <si>
    <t>(1) Other income should include items such as laundry income, clubhouse, and storage rentals.</t>
  </si>
  <si>
    <t>NET OPERATING INCOME</t>
  </si>
  <si>
    <t>Other Payroll</t>
  </si>
  <si>
    <t>(2) Uncollected rent includes collection loss, rent concessions, bad debt, uncollectibles and any past rent collection income.</t>
  </si>
  <si>
    <t>Worksheet</t>
  </si>
  <si>
    <t>IREM</t>
  </si>
  <si>
    <t>Total</t>
  </si>
  <si>
    <t>Avg</t>
  </si>
  <si>
    <t>Rents*</t>
  </si>
  <si>
    <t>Utilities**</t>
  </si>
  <si>
    <t>Utilities for CA/Apt and CA Only</t>
  </si>
  <si>
    <t>RE Tax (Not Applicable)</t>
  </si>
  <si>
    <t>Income Totals</t>
  </si>
  <si>
    <t>Area</t>
  </si>
  <si>
    <t>Label</t>
  </si>
  <si>
    <t>Type</t>
  </si>
  <si>
    <t>Year</t>
  </si>
  <si>
    <t># Bldgs</t>
  </si>
  <si>
    <t>$</t>
  </si>
  <si>
    <t>CA/Apt</t>
  </si>
  <si>
    <t>CA Only</t>
  </si>
  <si>
    <t>Apt Adj</t>
  </si>
  <si>
    <t>Region 7</t>
  </si>
  <si>
    <t>All Sec 42</t>
  </si>
  <si>
    <t>Elev Bldgs</t>
  </si>
  <si>
    <t>Garden</t>
  </si>
  <si>
    <t>AllEld,R7,GB</t>
  </si>
  <si>
    <t>AllFam,R7,GB</t>
  </si>
  <si>
    <t>Median of the Median</t>
  </si>
  <si>
    <t>Average of the Median</t>
  </si>
  <si>
    <t>*Approx adjustment for CA and Apt utility cost</t>
  </si>
  <si>
    <t>**Utility expense generally includes water and sewer</t>
  </si>
  <si>
    <t>Total Exp w/o RE Tax</t>
  </si>
  <si>
    <t>Total Exp with RE Tax</t>
  </si>
  <si>
    <t>% of EGI</t>
  </si>
  <si>
    <t>% of PGI</t>
  </si>
  <si>
    <t>AFFORDABLE HOUSING INCOME &amp; EXPENSE REPORT FORM</t>
  </si>
  <si>
    <t>Unit
Size</t>
  </si>
  <si>
    <t>Sec 236</t>
  </si>
  <si>
    <t>Rent Per Unit</t>
  </si>
  <si>
    <t>Year
Built</t>
  </si>
  <si>
    <t>Electric</t>
  </si>
  <si>
    <t>What apartment utilities are paid by the owner?</t>
  </si>
  <si>
    <t xml:space="preserve"> Water &amp; Sewer</t>
  </si>
  <si>
    <t xml:space="preserve">Heating Fuel  </t>
  </si>
  <si>
    <t xml:space="preserve">PRELIMINARY VALUE </t>
  </si>
  <si>
    <t>PERSONAL PROPERTY VALUE ADJUSTMENT</t>
  </si>
  <si>
    <t>Adjustment %</t>
  </si>
  <si>
    <t>Pro-forma</t>
  </si>
  <si>
    <t>Payroll (4)</t>
  </si>
  <si>
    <t>Administrative (3)</t>
  </si>
  <si>
    <t>(BLUE shaded cells contain formulas and should not be altered)</t>
  </si>
  <si>
    <t>Building
Type</t>
  </si>
  <si>
    <t>Bldg Type</t>
  </si>
  <si>
    <t>Low Rise</t>
  </si>
  <si>
    <t>Elevator</t>
  </si>
  <si>
    <t>FUTURE VALUE</t>
  </si>
  <si>
    <t>Diff in NOI</t>
  </si>
  <si>
    <t>Yearly $</t>
  </si>
  <si>
    <t>Absorption</t>
  </si>
  <si>
    <t>PW Factor</t>
  </si>
  <si>
    <t>Years</t>
  </si>
  <si>
    <t>Rent Loss</t>
  </si>
  <si>
    <t>Disabled</t>
  </si>
  <si>
    <t xml:space="preserve"> Gas</t>
  </si>
  <si>
    <t>Family/General</t>
  </si>
  <si>
    <t>Project Occupancy Restriction Type</t>
  </si>
  <si>
    <t>Future Value</t>
  </si>
  <si>
    <t>"As Is" Value</t>
  </si>
  <si>
    <t>Preliminary Future Value  (From above)</t>
  </si>
  <si>
    <t>Estimated Years to Stabilize</t>
  </si>
  <si>
    <t>PRELIMINARY "AS IS" VALUE</t>
  </si>
  <si>
    <t>Current Year NOI</t>
  </si>
  <si>
    <t>SHORTFALLS CALCULATION</t>
  </si>
  <si>
    <t>Sec 42-LIHTC</t>
  </si>
  <si>
    <t>(4) Some payroll may be included in Administrative or Maintenance. All other payroll should be reported on this line item.</t>
  </si>
  <si>
    <t>Totals</t>
  </si>
  <si>
    <t>(By typing or signing your name in the signature box above, you are certifying that you are the preparer of the information on this form)</t>
  </si>
  <si>
    <t>001-Allen</t>
  </si>
  <si>
    <t>002-Anderson</t>
  </si>
  <si>
    <t>003-Atchison</t>
  </si>
  <si>
    <t>004-Barber</t>
  </si>
  <si>
    <t>005-Barton</t>
  </si>
  <si>
    <t>006-Bourbon</t>
  </si>
  <si>
    <t>007-Brown</t>
  </si>
  <si>
    <t>008-Butler</t>
  </si>
  <si>
    <t>009-Chase</t>
  </si>
  <si>
    <t>010-Chautauqua</t>
  </si>
  <si>
    <t>011-Cherokee</t>
  </si>
  <si>
    <t>012-Cheyenne</t>
  </si>
  <si>
    <t>013-Clark</t>
  </si>
  <si>
    <t>014-Clay</t>
  </si>
  <si>
    <t>015-Cloud</t>
  </si>
  <si>
    <t>016-Coffey</t>
  </si>
  <si>
    <t>017-Comanche</t>
  </si>
  <si>
    <t>018-Cowley</t>
  </si>
  <si>
    <t>019-Crawford</t>
  </si>
  <si>
    <t>020-Decatur</t>
  </si>
  <si>
    <t>021-Dickinson</t>
  </si>
  <si>
    <t>022-Doniphan</t>
  </si>
  <si>
    <t>023-Douglas</t>
  </si>
  <si>
    <t>024-Edwards</t>
  </si>
  <si>
    <t>025-Elk</t>
  </si>
  <si>
    <t>026-Ellis</t>
  </si>
  <si>
    <t>027-Ellsworth</t>
  </si>
  <si>
    <t>028-Finney</t>
  </si>
  <si>
    <t>029-Ford</t>
  </si>
  <si>
    <t>030-Franklin</t>
  </si>
  <si>
    <t>031-Geary</t>
  </si>
  <si>
    <t>032-Gove</t>
  </si>
  <si>
    <t>033-Graham</t>
  </si>
  <si>
    <t>034-Grant</t>
  </si>
  <si>
    <t>035-Gray</t>
  </si>
  <si>
    <t xml:space="preserve">036-Greeley </t>
  </si>
  <si>
    <t>037-Greenwood</t>
  </si>
  <si>
    <t>038-Hamilton</t>
  </si>
  <si>
    <t>039-Harper</t>
  </si>
  <si>
    <t>040-Harvey</t>
  </si>
  <si>
    <t>041-Haskell</t>
  </si>
  <si>
    <t>042-Hodgeman</t>
  </si>
  <si>
    <t>043-Jackson</t>
  </si>
  <si>
    <t>044-Jefferson</t>
  </si>
  <si>
    <t>045-Jewell</t>
  </si>
  <si>
    <t>046-Johnson</t>
  </si>
  <si>
    <t>047-Kearny</t>
  </si>
  <si>
    <t>048-Kingman</t>
  </si>
  <si>
    <t>049-Kiowa</t>
  </si>
  <si>
    <t>050-Labette</t>
  </si>
  <si>
    <t>051-Lane</t>
  </si>
  <si>
    <t>052-Leavenworth</t>
  </si>
  <si>
    <t>053-Lincoln</t>
  </si>
  <si>
    <t>054-Linn</t>
  </si>
  <si>
    <t>055-Logan</t>
  </si>
  <si>
    <t>056-Lyon</t>
  </si>
  <si>
    <t>057-Marion</t>
  </si>
  <si>
    <t>058-Marshall</t>
  </si>
  <si>
    <t>059-McPherson</t>
  </si>
  <si>
    <t>060-Meade</t>
  </si>
  <si>
    <t>061-Miami</t>
  </si>
  <si>
    <t>062-Mitchell</t>
  </si>
  <si>
    <t>063-Montgomery</t>
  </si>
  <si>
    <t>064-Morris</t>
  </si>
  <si>
    <t>065-Morton</t>
  </si>
  <si>
    <t>066-Nemaha</t>
  </si>
  <si>
    <t>067-Neosho</t>
  </si>
  <si>
    <t>068-Ness</t>
  </si>
  <si>
    <t>069-Norton</t>
  </si>
  <si>
    <t>070-Osage</t>
  </si>
  <si>
    <t>071-Osborne</t>
  </si>
  <si>
    <t>072-Ottawa</t>
  </si>
  <si>
    <t>073-Pawnee</t>
  </si>
  <si>
    <t>074-Phillips</t>
  </si>
  <si>
    <t>075-Pottawatomie</t>
  </si>
  <si>
    <t>076-Pratt</t>
  </si>
  <si>
    <t>077-Rawlins</t>
  </si>
  <si>
    <t>079-Republic</t>
  </si>
  <si>
    <t>080-Rice</t>
  </si>
  <si>
    <t>081-Riley</t>
  </si>
  <si>
    <t>082-Rooks</t>
  </si>
  <si>
    <t>083-Rush</t>
  </si>
  <si>
    <t>084-Russell</t>
  </si>
  <si>
    <t>085-Saline</t>
  </si>
  <si>
    <t>086-Scott</t>
  </si>
  <si>
    <t>087-Sedgwick</t>
  </si>
  <si>
    <t>088-Seward</t>
  </si>
  <si>
    <t>089-Shawnee</t>
  </si>
  <si>
    <t>090-Sheridan</t>
  </si>
  <si>
    <t>091-Sherman</t>
  </si>
  <si>
    <t>092-Smith</t>
  </si>
  <si>
    <t>094-Stanton</t>
  </si>
  <si>
    <t>095-Stevens</t>
  </si>
  <si>
    <t>096-Sumner</t>
  </si>
  <si>
    <t>097-Thomas</t>
  </si>
  <si>
    <t>098-Trego</t>
  </si>
  <si>
    <t>099-Wabaunsee</t>
  </si>
  <si>
    <t>100-Wallace</t>
  </si>
  <si>
    <t>101-Washington</t>
  </si>
  <si>
    <t>102-Wichita</t>
  </si>
  <si>
    <t>103-Wilson</t>
  </si>
  <si>
    <t>104-Woodson</t>
  </si>
  <si>
    <t>105-Wyandotte</t>
  </si>
  <si>
    <t>A typical Personal Property Adjustment is 1% to 3% of the Preliminary Value.</t>
  </si>
  <si>
    <t>$/Unit</t>
  </si>
  <si>
    <t>Total Typ $</t>
  </si>
  <si>
    <t>CA/Apt High $</t>
  </si>
  <si>
    <t>CA Only Low $</t>
  </si>
  <si>
    <r>
      <t xml:space="preserve">Click the "Program Type" from the </t>
    </r>
    <r>
      <rPr>
        <b/>
        <i/>
        <u/>
        <sz val="9"/>
        <rFont val="Arial"/>
        <family val="2"/>
      </rPr>
      <t>Drop Down Menu</t>
    </r>
    <r>
      <rPr>
        <b/>
        <i/>
        <sz val="9"/>
        <rFont val="Arial"/>
        <family val="2"/>
      </rPr>
      <t xml:space="preserve"> below.</t>
    </r>
  </si>
  <si>
    <t>0-10</t>
  </si>
  <si>
    <t>21-30</t>
  </si>
  <si>
    <t>11-20</t>
  </si>
  <si>
    <t>30 plus</t>
  </si>
  <si>
    <t>Senior</t>
  </si>
  <si>
    <t>Family</t>
  </si>
  <si>
    <t>Age</t>
  </si>
  <si>
    <r>
      <t xml:space="preserve">Replacement Reserve Schedule - </t>
    </r>
    <r>
      <rPr>
        <sz val="9"/>
        <rFont val="Arial"/>
        <family val="2"/>
      </rPr>
      <t>Use this</t>
    </r>
    <r>
      <rPr>
        <b/>
        <sz val="9"/>
        <rFont val="Arial"/>
        <family val="2"/>
      </rPr>
      <t xml:space="preserve"> annual $ per unit </t>
    </r>
    <r>
      <rPr>
        <sz val="9"/>
        <rFont val="Arial"/>
        <family val="2"/>
      </rPr>
      <t>schedule for replacement reserve expense.</t>
    </r>
  </si>
  <si>
    <t>2019 Year</t>
  </si>
  <si>
    <t>2020 Year</t>
  </si>
  <si>
    <t>2021 Year</t>
  </si>
  <si>
    <t>2022 Year</t>
  </si>
  <si>
    <t>Duplex</t>
  </si>
  <si>
    <t>Townhome</t>
  </si>
  <si>
    <t>SFR</t>
  </si>
  <si>
    <t>Triplex</t>
  </si>
  <si>
    <t>Fourplex</t>
  </si>
  <si>
    <t>5 Bedroom</t>
  </si>
  <si>
    <t>Unit Type</t>
  </si>
  <si>
    <t>Less Deferred Maintenance/Completion Costs</t>
  </si>
  <si>
    <t>Administrative</t>
  </si>
  <si>
    <t>Payroll</t>
  </si>
  <si>
    <t>User must calculate a stabilized income value above prior to using this rent loss calculator.</t>
  </si>
  <si>
    <t>093-Stafford</t>
  </si>
  <si>
    <t>Repairs &amp; Maintenance</t>
  </si>
  <si>
    <t>PREPARER COMMENTS (Use separate sheet if necessary)</t>
  </si>
  <si>
    <t xml:space="preserve">*You may be requested to provide a detailed breakdown of expenses if data does not appear consistent with industry norms. Expenses should not include capitalized items including replacement of roofs, parking lots, boilers, water heaters, appliances, or other items typically capitalized.  Expenses should also not include principal payments on debt, nor interest payments. Expenses must reflect actual and not proforma expenses unless the property does not have three years of history.  If reporting expenses other than actual expenses, indicate expenses used with a note in the comments section of this report.  </t>
  </si>
  <si>
    <t xml:space="preserve">Property Name </t>
  </si>
  <si>
    <t xml:space="preserve">Property Situs Address </t>
  </si>
  <si>
    <t xml:space="preserve">Parcel Identification # </t>
  </si>
  <si>
    <t xml:space="preserve">Today's Date </t>
  </si>
  <si>
    <t xml:space="preserve">County Name </t>
  </si>
  <si>
    <t xml:space="preserve">Quick Ref ID </t>
  </si>
  <si>
    <t xml:space="preserve">Telephone # </t>
  </si>
  <si>
    <t xml:space="preserve">Tax Year </t>
  </si>
  <si>
    <t>VALUE per UNIT ROUNDED</t>
  </si>
  <si>
    <t>Class A Primary</t>
  </si>
  <si>
    <t>Class B Primary</t>
  </si>
  <si>
    <t>Class C Primary</t>
  </si>
  <si>
    <t>Class A Secondary</t>
  </si>
  <si>
    <t>Class B Secondary</t>
  </si>
  <si>
    <t>Class C Secondary</t>
  </si>
  <si>
    <t>Class A Tertiary</t>
  </si>
  <si>
    <t>Class B Tertiary</t>
  </si>
  <si>
    <t>Class C Tertiary</t>
  </si>
  <si>
    <t>7.25% (+/- .25%)</t>
  </si>
  <si>
    <t>8.00% (+/- .25%)</t>
  </si>
  <si>
    <t xml:space="preserve">        (Enter whole number greater than 0)</t>
  </si>
  <si>
    <t xml:space="preserve">Tax Unit  </t>
  </si>
  <si>
    <t xml:space="preserve">Mill Levy  </t>
  </si>
  <si>
    <t xml:space="preserve">Adjustment % </t>
  </si>
  <si>
    <t xml:space="preserve">TOTAL EXPENSES w/o TAXES </t>
  </si>
  <si>
    <t>TOTAL OPERATING EXPENSES</t>
  </si>
  <si>
    <t>OPERATING EXPENSE RATIO</t>
  </si>
  <si>
    <t>Annual Replacement Reserves</t>
  </si>
  <si>
    <t>TOTAL EXPENSES w/RESERVES</t>
  </si>
  <si>
    <r>
      <t xml:space="preserve">PRELIMARY VALUE </t>
    </r>
    <r>
      <rPr>
        <b/>
        <i/>
        <u/>
        <sz val="8.5"/>
        <rFont val="Arial"/>
        <family val="2"/>
      </rPr>
      <t>minus</t>
    </r>
    <r>
      <rPr>
        <b/>
        <i/>
        <sz val="8.5"/>
        <rFont val="Arial"/>
        <family val="2"/>
      </rPr>
      <t xml:space="preserve"> PERSONAL PROPERTY</t>
    </r>
  </si>
  <si>
    <r>
      <t xml:space="preserve">INDICATED </t>
    </r>
    <r>
      <rPr>
        <b/>
        <i/>
        <u/>
        <sz val="8.5"/>
        <rFont val="Arial"/>
        <family val="2"/>
      </rPr>
      <t>FUTURE STABILIZED VALUE</t>
    </r>
    <r>
      <rPr>
        <b/>
        <i/>
        <sz val="8.5"/>
        <rFont val="Arial"/>
        <family val="2"/>
      </rPr>
      <t xml:space="preserve"> ROUNDED </t>
    </r>
  </si>
  <si>
    <r>
      <rPr>
        <b/>
        <i/>
        <u/>
        <sz val="8.5"/>
        <rFont val="Arial"/>
        <family val="2"/>
      </rPr>
      <t>INDICATED "AS IS"</t>
    </r>
    <r>
      <rPr>
        <b/>
        <i/>
        <sz val="8.5"/>
        <rFont val="Arial"/>
        <family val="2"/>
      </rPr>
      <t xml:space="preserve"> VALUE ROUNDED </t>
    </r>
  </si>
  <si>
    <t xml:space="preserve">Preparer's name </t>
  </si>
  <si>
    <t xml:space="preserve">Preparer's Email Address </t>
  </si>
  <si>
    <t>Age =</t>
  </si>
  <si>
    <t>$/Unit =</t>
  </si>
  <si>
    <t>Cap rates are stratified by investment class and market area. The chosen cap rate should generally fall within a range specified in the cap rate analysis. Click the blue shaded box below to activate the drop down displaying the cap rates.</t>
  </si>
  <si>
    <t xml:space="preserve">Assessment Rate </t>
  </si>
  <si>
    <r>
      <t xml:space="preserve">Expenses </t>
    </r>
    <r>
      <rPr>
        <b/>
        <u/>
        <sz val="9"/>
        <rFont val="Arial"/>
        <family val="2"/>
      </rPr>
      <t>Exclusive</t>
    </r>
    <r>
      <rPr>
        <b/>
        <sz val="9"/>
        <rFont val="Arial"/>
        <family val="2"/>
      </rPr>
      <t xml:space="preserve"> of Reserves and RE Taxes</t>
    </r>
  </si>
  <si>
    <r>
      <t xml:space="preserve">RENT LOSS CALCULATOR FOR </t>
    </r>
    <r>
      <rPr>
        <b/>
        <i/>
        <u/>
        <sz val="11"/>
        <rFont val="Arial"/>
        <family val="2"/>
      </rPr>
      <t>NON-STABILIZED</t>
    </r>
    <r>
      <rPr>
        <b/>
        <sz val="11"/>
        <rFont val="Arial"/>
        <family val="2"/>
      </rPr>
      <t xml:space="preserve"> PROPERTIES</t>
    </r>
  </si>
  <si>
    <t>Net
Area</t>
  </si>
  <si>
    <t xml:space="preserve">(3) Administrative costs may include items such as marketing, advertising, signage,  licenses, fees, permits, collection, </t>
  </si>
  <si>
    <t xml:space="preserve">      accounting/auditing, mileage, bank charges, office supplies, leasing fees (if not already included) and postage.</t>
  </si>
  <si>
    <t>EFFECTIVE GROSS INCOME MULTIPLIER (EGIM) CALCULATOR</t>
  </si>
  <si>
    <t>Primary</t>
  </si>
  <si>
    <t>Secondary</t>
  </si>
  <si>
    <t>Tertiary</t>
  </si>
  <si>
    <t>Market
Area</t>
  </si>
  <si>
    <t>Expense
Ratio</t>
  </si>
  <si>
    <t>Indicated
EGIM</t>
  </si>
  <si>
    <t xml:space="preserve">Stabilized EGI </t>
  </si>
  <si>
    <t>Enter operating data with oldest information on the left and most current on the right. Select the year from drop down.</t>
  </si>
  <si>
    <t>Expense Ratio
To Use</t>
  </si>
  <si>
    <r>
      <rPr>
        <b/>
        <u/>
        <sz val="7"/>
        <color rgb="FFFF0000"/>
        <rFont val="Arial"/>
        <family val="2"/>
      </rPr>
      <t>(BLUE</t>
    </r>
    <r>
      <rPr>
        <b/>
        <sz val="7"/>
        <color rgb="FFFF0000"/>
        <rFont val="Arial"/>
        <family val="2"/>
      </rPr>
      <t xml:space="preserve"> shaded cells contain formulas or data that should not be altered; </t>
    </r>
    <r>
      <rPr>
        <b/>
        <u/>
        <sz val="7"/>
        <color rgb="FFFF0000"/>
        <rFont val="Arial"/>
        <family val="2"/>
      </rPr>
      <t>YELLOW</t>
    </r>
    <r>
      <rPr>
        <b/>
        <sz val="7"/>
        <color rgb="FFFF0000"/>
        <rFont val="Arial"/>
        <family val="2"/>
      </rPr>
      <t xml:space="preserve"> shaded cells need data input)</t>
    </r>
  </si>
  <si>
    <r>
      <rPr>
        <b/>
        <u/>
        <sz val="7"/>
        <color rgb="FFFF0000"/>
        <rFont val="Arial"/>
        <family val="2"/>
      </rPr>
      <t>(BLUE</t>
    </r>
    <r>
      <rPr>
        <b/>
        <sz val="7"/>
        <color rgb="FFFF0000"/>
        <rFont val="Arial"/>
        <family val="2"/>
      </rPr>
      <t xml:space="preserve"> shaded cells contain formulas or data that should not be altered; </t>
    </r>
    <r>
      <rPr>
        <b/>
        <u/>
        <sz val="7"/>
        <color rgb="FFFF0000"/>
        <rFont val="Arial"/>
        <family val="2"/>
      </rPr>
      <t>YELLOW</t>
    </r>
    <r>
      <rPr>
        <b/>
        <sz val="7"/>
        <color rgb="FFFF0000"/>
        <rFont val="Arial"/>
        <family val="2"/>
      </rPr>
      <t xml:space="preserve"> shaded cells need data input from drop down list)</t>
    </r>
  </si>
  <si>
    <t>078-Reno</t>
  </si>
  <si>
    <t>Less PV of Rent Loss Due to Shortfalls (OAR+1.5%)</t>
  </si>
  <si>
    <t xml:space="preserve"> OAR + 1.5%</t>
  </si>
  <si>
    <t>11.5% = Elec, water, and gas common area only.</t>
  </si>
  <si>
    <t>Think of expenses as what the owner would typically pay, not the tenant.</t>
  </si>
  <si>
    <t xml:space="preserve">Taxes are not an expense item. </t>
  </si>
  <si>
    <t>Will be loaded into overall cap rate.</t>
  </si>
  <si>
    <t xml:space="preserve">Totals fields are for PVD information only. </t>
  </si>
  <si>
    <t>Using totals acorss project types can be misleading. Use with caution.</t>
  </si>
  <si>
    <t>There is insufficient data to establish ranges for much of the data so $0.00 or 0% entries may display in many cases.</t>
  </si>
  <si>
    <r>
      <t xml:space="preserve">The source of the information provided below is the Institute of Real Estate Management Conventional Apartment and Federally Assisted Apartment Income/Expense Analysis 2019 Edition. </t>
    </r>
    <r>
      <rPr>
        <b/>
        <i/>
        <u/>
        <sz val="9"/>
        <rFont val="Arial"/>
        <family val="2"/>
      </rPr>
      <t>Actual</t>
    </r>
    <r>
      <rPr>
        <b/>
        <i/>
        <sz val="9"/>
        <rFont val="Arial"/>
        <family val="2"/>
      </rPr>
      <t xml:space="preserve"> operating information should be considered by the appraiser if available. The benchmark data below should only be considered if actual I/E data is not submitted to the appraiser. </t>
    </r>
  </si>
  <si>
    <t>Vacancy &amp; Collection Loss</t>
  </si>
  <si>
    <t>IREM Rents Apartments</t>
  </si>
  <si>
    <t>IREM Subtotal Operating Expense</t>
  </si>
  <si>
    <t>IREM Subtotal Maintenance</t>
  </si>
  <si>
    <t>IREM Insurance</t>
  </si>
  <si>
    <t>Heating fuel for space heat only. Do not use, but do use Gas category.</t>
  </si>
  <si>
    <t>Low Rise Buildings, Page 99</t>
  </si>
  <si>
    <t>Elevator Buildings, Page 97</t>
  </si>
  <si>
    <t>Garden Buildings, page 101</t>
  </si>
  <si>
    <t>Sec 8, Elderly/Garden, Page 102</t>
  </si>
  <si>
    <t>Sec 8, Family/Garden, Page 102</t>
  </si>
  <si>
    <t>All Elderly, Low Rise Buildings, Page 100</t>
  </si>
  <si>
    <t>Sec 8, Family, Low Rise Buildings, Page 100</t>
  </si>
  <si>
    <t>All Elderly, Garden, Page 103</t>
  </si>
  <si>
    <t>Sec 8, Elderly/Hand, Elevator Buildings, Page 98</t>
  </si>
  <si>
    <t>Sec 8, Elderly/Hand, Low Rise Buildings, Page 99</t>
  </si>
  <si>
    <t>All Elderly, Elevator Buildings, Page 98</t>
  </si>
  <si>
    <t>All Family, Garden Buildings, Page 103</t>
  </si>
  <si>
    <t>Sec 42,R7</t>
  </si>
  <si>
    <t>AllEld,R7,Elev</t>
  </si>
  <si>
    <t>All GB,R7</t>
  </si>
  <si>
    <t>All Family, Low Rise Buildings, Page 101</t>
  </si>
  <si>
    <t>AllElevBldg,R7</t>
  </si>
  <si>
    <r>
      <rPr>
        <b/>
        <u/>
        <sz val="16"/>
        <color rgb="FF000000"/>
        <rFont val="Arial"/>
        <family val="2"/>
      </rPr>
      <t>DO NOT</t>
    </r>
    <r>
      <rPr>
        <b/>
        <sz val="16"/>
        <color rgb="FF000000"/>
        <rFont val="Arial"/>
        <family val="2"/>
      </rPr>
      <t xml:space="preserve"> alter the format of this document in any way</t>
    </r>
  </si>
  <si>
    <t>The source of the information provided above is the Institute of Real Estate Management Conventional Apartment and Federally Assisted Apartment Income/Expense Analysis 2019 Edition.</t>
  </si>
  <si>
    <t>0.00</t>
  </si>
  <si>
    <t>Section 42 Housing, Part 7, Page 228 Conventional Guide</t>
  </si>
  <si>
    <t>Sec 8,Eld/Hand,R7,Elev</t>
  </si>
  <si>
    <t>Sec 8,Fam,R7,GB</t>
  </si>
  <si>
    <t>Sec 8, Elderly/Hand, Elevator Buildings</t>
  </si>
  <si>
    <t>Sec 8, Elderly/Hand, Low Rise Buildings</t>
  </si>
  <si>
    <t>Sec 8, Family/Garden</t>
  </si>
  <si>
    <t>All Elderly, Garden</t>
  </si>
  <si>
    <t>Sec 8, Family, Low Rise Buildings</t>
  </si>
  <si>
    <t>All Elderly, Low Rise Buildings</t>
  </si>
  <si>
    <t>All Family, Low Rise Buildings</t>
  </si>
  <si>
    <t>Garden Buildings</t>
  </si>
  <si>
    <t>Elevator Buildings</t>
  </si>
  <si>
    <t>All Elderly, Elevator Buildings</t>
  </si>
  <si>
    <t>Low Rise Buildings</t>
  </si>
  <si>
    <t>All Family, Garden Buildings</t>
  </si>
  <si>
    <t>Sec 8, Elderly/Hand/Garden</t>
  </si>
  <si>
    <t>Sec 8,Eld/Hand,R7,GB</t>
  </si>
  <si>
    <t>Sec 8,Eld,R7,LR</t>
  </si>
  <si>
    <t>Sec 8,R7,Fam,LR</t>
  </si>
  <si>
    <t>AllEld,R7,LR</t>
  </si>
  <si>
    <t>AllFam,R7,LR</t>
  </si>
  <si>
    <t>All,R7,LR</t>
  </si>
  <si>
    <r>
      <t xml:space="preserve">(Click </t>
    </r>
    <r>
      <rPr>
        <u/>
        <sz val="8"/>
        <color rgb="FFFF0000"/>
        <rFont val="Arial"/>
        <family val="2"/>
      </rPr>
      <t>cell to left</t>
    </r>
    <r>
      <rPr>
        <sz val="8"/>
        <color rgb="FFFF0000"/>
        <rFont val="Arial"/>
        <family val="2"/>
      </rPr>
      <t xml:space="preserve"> for menu)</t>
    </r>
  </si>
  <si>
    <t>Sec 8</t>
  </si>
  <si>
    <t>2024 Year</t>
  </si>
  <si>
    <t>2023 Year</t>
  </si>
  <si>
    <t>5.75% (+/- .25%)</t>
  </si>
  <si>
    <t>6.50% (+/- .25%)</t>
  </si>
  <si>
    <t>8.25% (+/- .25%)</t>
  </si>
  <si>
    <t>9.00% (+/- .25%)</t>
  </si>
  <si>
    <t>Section 42</t>
  </si>
  <si>
    <t>(Click yellow cells for menu)</t>
  </si>
  <si>
    <t xml:space="preserve"> Elderly</t>
  </si>
  <si>
    <t>The final income estimate from the template should be recorded as a Miscellaneous Improvement Value or an override value on the Orion Final Value page. See the Orion Final Value Checklist for specific data entry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</si>
</sst>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lt;=9999999]###\-####;\(###\)\ ###\-####"/>
    <numFmt numFmtId="166" formatCode="&quot;$&quot;#,##0.00"/>
    <numFmt numFmtId="167" formatCode="0.0%"/>
    <numFmt numFmtId="168" formatCode="000&quot;-&quot;000&quot;-&quot;00&quot;-&quot;0&quot;-&quot;00&quot;-&quot;00&quot;-&quot;000&quot;.&quot;00&quot;-&quot;0"/>
    <numFmt numFmtId="169" formatCode="m/d/yyyy;@"/>
    <numFmt numFmtId="170" formatCode="&quot;$&quot;#,##0;&quot;$0&quot;"/>
    <numFmt numFmtId="171" formatCode="0.0000%"/>
    <numFmt numFmtId="172" formatCode="0.000"/>
  </numFmts>
  <fonts count="61" x14ac:knownFonts="1">
    <font>
      <sz val="8"/>
      <name val="Arial"/>
    </font>
    <font>
      <sz val="11"/>
      <color theme="1"/>
      <name val="Calibri"/>
      <family val="2"/>
      <scheme val="minor"/>
    </font>
    <font>
      <b/>
      <sz val="8"/>
      <name val="Arial"/>
      <family val="2"/>
    </font>
    <font>
      <b/>
      <sz val="10"/>
      <name val="Arial"/>
      <family val="2"/>
    </font>
    <font>
      <sz val="8"/>
      <color indexed="81"/>
      <name val="Tahoma"/>
      <family val="2"/>
    </font>
    <font>
      <b/>
      <sz val="9"/>
      <name val="Arial"/>
      <family val="2"/>
    </font>
    <font>
      <u/>
      <sz val="8"/>
      <color indexed="12"/>
      <name val="Arial"/>
      <family val="2"/>
    </font>
    <font>
      <sz val="8"/>
      <name val="Arial"/>
      <family val="2"/>
    </font>
    <font>
      <sz val="8"/>
      <name val="Arial"/>
      <family val="2"/>
    </font>
    <font>
      <sz val="10"/>
      <name val="Arial"/>
      <family val="2"/>
    </font>
    <font>
      <sz val="9"/>
      <name val="Arial"/>
      <family val="2"/>
    </font>
    <font>
      <b/>
      <u/>
      <sz val="10"/>
      <name val="Arial"/>
      <family val="2"/>
    </font>
    <font>
      <sz val="12"/>
      <name val="Arial"/>
      <family val="2"/>
    </font>
    <font>
      <b/>
      <i/>
      <sz val="10"/>
      <name val="Arial"/>
      <family val="2"/>
    </font>
    <font>
      <sz val="9"/>
      <color indexed="81"/>
      <name val="Tahoma"/>
      <family val="2"/>
    </font>
    <font>
      <b/>
      <i/>
      <sz val="9"/>
      <name val="Arial"/>
      <family val="2"/>
    </font>
    <font>
      <i/>
      <sz val="10"/>
      <name val="Arial"/>
      <family val="2"/>
    </font>
    <font>
      <sz val="10"/>
      <color indexed="8"/>
      <name val="Arial"/>
      <family val="2"/>
    </font>
    <font>
      <b/>
      <sz val="8"/>
      <color indexed="8"/>
      <name val="ARIAL"/>
      <family val="2"/>
    </font>
    <font>
      <sz val="8"/>
      <color indexed="8"/>
      <name val="Arial"/>
      <family val="2"/>
    </font>
    <font>
      <sz val="8"/>
      <color rgb="FF000000"/>
      <name val="Arial"/>
      <family val="2"/>
    </font>
    <font>
      <b/>
      <i/>
      <sz val="9"/>
      <color rgb="FFFF0000"/>
      <name val="Arial"/>
      <family val="2"/>
    </font>
    <font>
      <sz val="11"/>
      <color indexed="8"/>
      <name val="Calibri"/>
      <family val="2"/>
      <scheme val="minor"/>
    </font>
    <font>
      <b/>
      <sz val="11"/>
      <color indexed="8"/>
      <name val="Calibri"/>
      <family val="2"/>
      <scheme val="minor"/>
    </font>
    <font>
      <b/>
      <sz val="8"/>
      <color rgb="FFFF0000"/>
      <name val="Arial"/>
      <family val="2"/>
    </font>
    <font>
      <b/>
      <i/>
      <sz val="8"/>
      <name val="Arial"/>
      <family val="2"/>
    </font>
    <font>
      <sz val="8"/>
      <name val="Arial"/>
      <family val="2"/>
    </font>
    <font>
      <b/>
      <i/>
      <u/>
      <sz val="9"/>
      <name val="Arial"/>
      <family val="2"/>
    </font>
    <font>
      <sz val="7"/>
      <name val="Arial"/>
      <family val="2"/>
    </font>
    <font>
      <strike/>
      <sz val="8"/>
      <color rgb="FFFF0000"/>
      <name val="Arial"/>
      <family val="2"/>
    </font>
    <font>
      <sz val="8.5"/>
      <name val="Arial"/>
      <family val="2"/>
    </font>
    <font>
      <sz val="8"/>
      <color theme="1"/>
      <name val="Arial"/>
      <family val="2"/>
    </font>
    <font>
      <sz val="8"/>
      <color rgb="FFFF0000"/>
      <name val="Arial"/>
      <family val="2"/>
    </font>
    <font>
      <b/>
      <sz val="8.5"/>
      <name val="Arial"/>
      <family val="2"/>
    </font>
    <font>
      <b/>
      <i/>
      <sz val="8.5"/>
      <name val="Arial"/>
      <family val="2"/>
    </font>
    <font>
      <b/>
      <sz val="8.5"/>
      <color theme="9"/>
      <name val="Arial"/>
      <family val="2"/>
    </font>
    <font>
      <b/>
      <sz val="13.5"/>
      <name val="Arial"/>
      <family val="2"/>
    </font>
    <font>
      <b/>
      <sz val="13"/>
      <name val="Arial"/>
      <family val="2"/>
    </font>
    <font>
      <b/>
      <sz val="9.5"/>
      <name val="Arial"/>
      <family val="2"/>
    </font>
    <font>
      <b/>
      <sz val="11"/>
      <name val="Arial"/>
      <family val="2"/>
    </font>
    <font>
      <b/>
      <i/>
      <u/>
      <sz val="8.5"/>
      <name val="Arial"/>
      <family val="2"/>
    </font>
    <font>
      <b/>
      <i/>
      <sz val="8.5"/>
      <color theme="9"/>
      <name val="Arial"/>
      <family val="2"/>
    </font>
    <font>
      <sz val="8.5"/>
      <color rgb="FFFF0000"/>
      <name val="Arial"/>
      <family val="2"/>
    </font>
    <font>
      <b/>
      <u/>
      <sz val="8.5"/>
      <name val="Arial"/>
      <family val="2"/>
    </font>
    <font>
      <i/>
      <sz val="8.5"/>
      <name val="Arial"/>
      <family val="2"/>
    </font>
    <font>
      <b/>
      <sz val="8.5"/>
      <name val="Calibri"/>
      <family val="2"/>
      <scheme val="minor"/>
    </font>
    <font>
      <b/>
      <sz val="7"/>
      <color rgb="FFFF0000"/>
      <name val="Arial"/>
      <family val="2"/>
    </font>
    <font>
      <b/>
      <u/>
      <sz val="7"/>
      <color rgb="FFFF0000"/>
      <name val="Arial"/>
      <family val="2"/>
    </font>
    <font>
      <b/>
      <i/>
      <u/>
      <sz val="11"/>
      <name val="Arial"/>
      <family val="2"/>
    </font>
    <font>
      <b/>
      <u/>
      <sz val="9"/>
      <name val="Arial"/>
      <family val="2"/>
    </font>
    <font>
      <u/>
      <sz val="8"/>
      <color indexed="81"/>
      <name val="Tahoma"/>
      <family val="2"/>
    </font>
    <font>
      <b/>
      <strike/>
      <sz val="8"/>
      <color indexed="8"/>
      <name val="Arial"/>
      <family val="2"/>
    </font>
    <font>
      <strike/>
      <sz val="8"/>
      <name val="Arial"/>
      <family val="2"/>
    </font>
    <font>
      <strike/>
      <sz val="8"/>
      <color indexed="8"/>
      <name val="Arial"/>
      <family val="2"/>
    </font>
    <font>
      <b/>
      <sz val="8"/>
      <color rgb="FF000000"/>
      <name val="Arial"/>
      <family val="2"/>
    </font>
    <font>
      <b/>
      <strike/>
      <sz val="8"/>
      <name val="Arial"/>
      <family val="2"/>
    </font>
    <font>
      <strike/>
      <sz val="8"/>
      <color rgb="FF000000"/>
      <name val="Arial"/>
      <family val="2"/>
    </font>
    <font>
      <u/>
      <sz val="8"/>
      <color rgb="FFFF0000"/>
      <name val="Arial"/>
      <family val="2"/>
    </font>
    <font>
      <b/>
      <sz val="16"/>
      <color rgb="FF000000"/>
      <name val="Arial"/>
      <family val="2"/>
    </font>
    <font>
      <b/>
      <u/>
      <sz val="16"/>
      <color rgb="FF000000"/>
      <name val="Arial"/>
      <family val="2"/>
    </font>
    <font>
      <sz val="16"/>
      <color indexed="8"/>
      <name val="Arial"/>
      <family val="2"/>
    </font>
  </fonts>
  <fills count="2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00B0F0"/>
        <bgColor indexed="64"/>
      </patternFill>
    </fill>
    <fill>
      <patternFill patternType="solid">
        <fgColor rgb="FFFFC000"/>
        <bgColor indexed="64"/>
      </patternFill>
    </fill>
    <fill>
      <patternFill patternType="solid">
        <fgColor rgb="FFFF7C80"/>
        <bgColor indexed="64"/>
      </patternFill>
    </fill>
    <fill>
      <patternFill patternType="solid">
        <fgColor rgb="FFFFFF99"/>
        <bgColor indexed="64"/>
      </patternFill>
    </fill>
    <fill>
      <patternFill patternType="solid">
        <fgColor rgb="FFCC99FF"/>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gray0625">
        <fgColor theme="5"/>
      </patternFill>
    </fill>
    <fill>
      <patternFill patternType="solid">
        <fgColor rgb="FFFFFFCC"/>
        <bgColor indexed="64"/>
      </patternFill>
    </fill>
    <fill>
      <patternFill patternType="solid">
        <fgColor rgb="FFFFFF0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double">
        <color indexed="64"/>
      </top>
      <bottom style="thin">
        <color indexed="64"/>
      </bottom>
      <diagonal/>
    </border>
    <border>
      <left/>
      <right/>
      <top style="double">
        <color indexed="64"/>
      </top>
      <bottom style="double">
        <color indexed="64"/>
      </bottom>
      <diagonal/>
    </border>
    <border>
      <left/>
      <right style="thin">
        <color indexed="64"/>
      </right>
      <top/>
      <bottom style="double">
        <color indexed="64"/>
      </bottom>
      <diagonal/>
    </border>
    <border>
      <left/>
      <right/>
      <top style="medium">
        <color indexed="64"/>
      </top>
      <bottom/>
      <diagonal/>
    </border>
    <border>
      <left/>
      <right style="thin">
        <color indexed="64"/>
      </right>
      <top/>
      <bottom style="medium">
        <color indexed="64"/>
      </bottom>
      <diagonal/>
    </border>
  </borders>
  <cellStyleXfs count="13">
    <xf numFmtId="0" fontId="0" fillId="0" borderId="0"/>
    <xf numFmtId="0" fontId="6" fillId="0" borderId="0" applyNumberFormat="0" applyFill="0" applyBorder="0" applyAlignment="0" applyProtection="0">
      <alignment vertical="top"/>
      <protection locked="0"/>
    </xf>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7" fillId="0" borderId="0">
      <alignment vertical="top"/>
    </xf>
    <xf numFmtId="44" fontId="17" fillId="0" borderId="0" applyFont="0" applyFill="0" applyBorder="0" applyAlignment="0" applyProtection="0">
      <alignment vertical="top"/>
    </xf>
    <xf numFmtId="0" fontId="17" fillId="0" borderId="0"/>
    <xf numFmtId="0" fontId="1" fillId="0" borderId="0"/>
    <xf numFmtId="44" fontId="17" fillId="0" borderId="0" applyFont="0" applyFill="0" applyBorder="0" applyAlignment="0" applyProtection="0"/>
    <xf numFmtId="44" fontId="26" fillId="0" borderId="0" applyFont="0" applyFill="0" applyBorder="0" applyAlignment="0" applyProtection="0"/>
  </cellStyleXfs>
  <cellXfs count="714">
    <xf numFmtId="0" fontId="0" fillId="0" borderId="0" xfId="0"/>
    <xf numFmtId="0" fontId="3" fillId="0" borderId="0" xfId="0" applyFont="1" applyProtection="1">
      <protection hidden="1"/>
    </xf>
    <xf numFmtId="167" fontId="10" fillId="14" borderId="1" xfId="2" applyNumberFormat="1" applyFont="1" applyFill="1" applyBorder="1" applyAlignment="1" applyProtection="1">
      <alignment horizontal="center"/>
    </xf>
    <xf numFmtId="0" fontId="2" fillId="0" borderId="0" xfId="0" applyFont="1" applyAlignment="1" applyProtection="1">
      <alignment horizontal="center"/>
      <protection hidden="1"/>
    </xf>
    <xf numFmtId="0" fontId="2" fillId="0" borderId="0" xfId="0" applyFont="1" applyProtection="1">
      <protection hidden="1"/>
    </xf>
    <xf numFmtId="0" fontId="18" fillId="0" borderId="22"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18" fillId="6" borderId="1" xfId="0" applyFont="1" applyFill="1" applyBorder="1" applyAlignment="1" applyProtection="1">
      <alignment horizontal="center"/>
      <protection hidden="1"/>
    </xf>
    <xf numFmtId="164" fontId="18" fillId="6" borderId="1" xfId="0" applyNumberFormat="1" applyFont="1" applyFill="1" applyBorder="1" applyAlignment="1" applyProtection="1">
      <alignment horizontal="center"/>
      <protection hidden="1"/>
    </xf>
    <xf numFmtId="0" fontId="18" fillId="3" borderId="1" xfId="0" applyFont="1" applyFill="1" applyBorder="1" applyAlignment="1" applyProtection="1">
      <alignment horizontal="center"/>
      <protection hidden="1"/>
    </xf>
    <xf numFmtId="164" fontId="18" fillId="3" borderId="1" xfId="0" applyNumberFormat="1" applyFont="1" applyFill="1" applyBorder="1" applyAlignment="1" applyProtection="1">
      <alignment horizontal="center"/>
      <protection hidden="1"/>
    </xf>
    <xf numFmtId="0" fontId="18" fillId="7" borderId="1" xfId="0" applyFont="1" applyFill="1" applyBorder="1" applyAlignment="1" applyProtection="1">
      <alignment horizontal="center"/>
      <protection hidden="1"/>
    </xf>
    <xf numFmtId="164" fontId="18" fillId="7" borderId="1" xfId="0" applyNumberFormat="1" applyFont="1" applyFill="1" applyBorder="1" applyAlignment="1" applyProtection="1">
      <alignment horizontal="center"/>
      <protection hidden="1"/>
    </xf>
    <xf numFmtId="0" fontId="18" fillId="4" borderId="1" xfId="0" applyFont="1" applyFill="1" applyBorder="1" applyAlignment="1" applyProtection="1">
      <alignment horizontal="center"/>
      <protection hidden="1"/>
    </xf>
    <xf numFmtId="164" fontId="18" fillId="4" borderId="1" xfId="0" applyNumberFormat="1" applyFont="1" applyFill="1" applyBorder="1" applyAlignment="1" applyProtection="1">
      <alignment horizontal="center"/>
      <protection hidden="1"/>
    </xf>
    <xf numFmtId="0" fontId="18" fillId="8" borderId="1" xfId="0" applyFont="1" applyFill="1" applyBorder="1" applyAlignment="1" applyProtection="1">
      <alignment horizontal="center"/>
      <protection hidden="1"/>
    </xf>
    <xf numFmtId="0" fontId="18" fillId="11" borderId="1" xfId="0" applyFont="1" applyFill="1" applyBorder="1" applyAlignment="1" applyProtection="1">
      <alignment horizontal="center"/>
      <protection hidden="1"/>
    </xf>
    <xf numFmtId="0" fontId="18" fillId="9" borderId="1" xfId="0" applyFont="1" applyFill="1" applyBorder="1" applyAlignment="1" applyProtection="1">
      <alignment horizontal="center"/>
      <protection hidden="1"/>
    </xf>
    <xf numFmtId="0" fontId="18" fillId="10" borderId="1" xfId="0" applyFont="1" applyFill="1" applyBorder="1" applyAlignment="1" applyProtection="1">
      <alignment horizontal="center"/>
      <protection hidden="1"/>
    </xf>
    <xf numFmtId="0" fontId="7" fillId="0" borderId="0" xfId="0" applyFont="1" applyProtection="1">
      <protection hidden="1"/>
    </xf>
    <xf numFmtId="0" fontId="19" fillId="0" borderId="0" xfId="0" applyFont="1" applyProtection="1">
      <protection hidden="1"/>
    </xf>
    <xf numFmtId="0" fontId="7" fillId="0" borderId="0" xfId="0" applyFont="1" applyAlignment="1" applyProtection="1">
      <alignment horizontal="center"/>
      <protection hidden="1"/>
    </xf>
    <xf numFmtId="3" fontId="19" fillId="0" borderId="0" xfId="0" applyNumberFormat="1" applyFont="1" applyAlignment="1" applyProtection="1">
      <alignment horizontal="center"/>
      <protection hidden="1"/>
    </xf>
    <xf numFmtId="166" fontId="19" fillId="6" borderId="21" xfId="0" applyNumberFormat="1" applyFont="1" applyFill="1" applyBorder="1" applyAlignment="1" applyProtection="1">
      <alignment horizontal="center"/>
      <protection hidden="1"/>
    </xf>
    <xf numFmtId="164" fontId="19" fillId="6" borderId="21" xfId="8" applyNumberFormat="1" applyFont="1" applyFill="1" applyBorder="1" applyAlignment="1" applyProtection="1">
      <alignment horizontal="right"/>
      <protection hidden="1"/>
    </xf>
    <xf numFmtId="166" fontId="19" fillId="6" borderId="21" xfId="8" applyNumberFormat="1" applyFont="1" applyFill="1" applyBorder="1" applyAlignment="1" applyProtection="1">
      <alignment horizontal="center"/>
      <protection hidden="1"/>
    </xf>
    <xf numFmtId="164" fontId="19" fillId="6" borderId="21" xfId="8" applyNumberFormat="1" applyFont="1" applyFill="1" applyBorder="1" applyAlignment="1" applyProtection="1">
      <alignment horizontal="center"/>
      <protection hidden="1"/>
    </xf>
    <xf numFmtId="167" fontId="7" fillId="3" borderId="21" xfId="2" applyNumberFormat="1" applyFont="1" applyFill="1" applyBorder="1" applyAlignment="1" applyProtection="1">
      <alignment horizontal="center"/>
      <protection hidden="1"/>
    </xf>
    <xf numFmtId="164" fontId="7" fillId="3" borderId="21" xfId="0" applyNumberFormat="1" applyFont="1" applyFill="1" applyBorder="1" applyAlignment="1" applyProtection="1">
      <alignment horizontal="right"/>
      <protection hidden="1"/>
    </xf>
    <xf numFmtId="167" fontId="7" fillId="7" borderId="21" xfId="2" applyNumberFormat="1" applyFont="1" applyFill="1" applyBorder="1" applyAlignment="1" applyProtection="1">
      <alignment horizontal="center"/>
      <protection hidden="1"/>
    </xf>
    <xf numFmtId="164" fontId="7" fillId="7" borderId="21" xfId="0" applyNumberFormat="1" applyFont="1" applyFill="1" applyBorder="1" applyAlignment="1" applyProtection="1">
      <alignment horizontal="right"/>
      <protection hidden="1"/>
    </xf>
    <xf numFmtId="167" fontId="7" fillId="4" borderId="21" xfId="0" applyNumberFormat="1" applyFont="1" applyFill="1" applyBorder="1" applyAlignment="1" applyProtection="1">
      <alignment horizontal="center"/>
      <protection hidden="1"/>
    </xf>
    <xf numFmtId="164" fontId="7" fillId="4" borderId="21" xfId="0" applyNumberFormat="1" applyFont="1" applyFill="1" applyBorder="1" applyAlignment="1" applyProtection="1">
      <alignment horizontal="right"/>
      <protection hidden="1"/>
    </xf>
    <xf numFmtId="167" fontId="7" fillId="8" borderId="21" xfId="0" applyNumberFormat="1" applyFont="1" applyFill="1" applyBorder="1" applyProtection="1">
      <protection hidden="1"/>
    </xf>
    <xf numFmtId="167" fontId="7" fillId="11" borderId="21" xfId="0" applyNumberFormat="1" applyFont="1" applyFill="1" applyBorder="1" applyAlignment="1" applyProtection="1">
      <alignment horizontal="center"/>
      <protection hidden="1"/>
    </xf>
    <xf numFmtId="164" fontId="7" fillId="11" borderId="21" xfId="0" applyNumberFormat="1" applyFont="1" applyFill="1" applyBorder="1" applyProtection="1">
      <protection hidden="1"/>
    </xf>
    <xf numFmtId="167" fontId="7" fillId="9" borderId="21" xfId="0" applyNumberFormat="1" applyFont="1" applyFill="1" applyBorder="1" applyAlignment="1" applyProtection="1">
      <alignment horizontal="center"/>
      <protection hidden="1"/>
    </xf>
    <xf numFmtId="164" fontId="7" fillId="9" borderId="21" xfId="0" applyNumberFormat="1" applyFont="1" applyFill="1" applyBorder="1" applyProtection="1">
      <protection hidden="1"/>
    </xf>
    <xf numFmtId="167" fontId="7" fillId="10" borderId="21" xfId="0" applyNumberFormat="1" applyFont="1" applyFill="1" applyBorder="1" applyAlignment="1" applyProtection="1">
      <alignment horizontal="center"/>
      <protection hidden="1"/>
    </xf>
    <xf numFmtId="164" fontId="7" fillId="10" borderId="21" xfId="0" applyNumberFormat="1" applyFont="1" applyFill="1" applyBorder="1" applyProtection="1">
      <protection hidden="1"/>
    </xf>
    <xf numFmtId="166" fontId="19" fillId="6" borderId="23" xfId="8" applyNumberFormat="1" applyFont="1" applyFill="1" applyBorder="1" applyAlignment="1" applyProtection="1">
      <alignment horizontal="center"/>
      <protection hidden="1"/>
    </xf>
    <xf numFmtId="164" fontId="19" fillId="6" borderId="23" xfId="8" applyNumberFormat="1" applyFont="1" applyFill="1" applyBorder="1" applyAlignment="1" applyProtection="1">
      <alignment horizontal="right"/>
      <protection hidden="1"/>
    </xf>
    <xf numFmtId="166" fontId="19" fillId="6" borderId="23" xfId="2" applyNumberFormat="1" applyFont="1" applyFill="1" applyBorder="1" applyAlignment="1" applyProtection="1">
      <alignment horizontal="center"/>
      <protection hidden="1"/>
    </xf>
    <xf numFmtId="164" fontId="19" fillId="6" borderId="23" xfId="2" applyNumberFormat="1" applyFont="1" applyFill="1" applyBorder="1" applyAlignment="1" applyProtection="1">
      <alignment horizontal="right"/>
      <protection hidden="1"/>
    </xf>
    <xf numFmtId="167" fontId="7" fillId="3" borderId="23" xfId="2" applyNumberFormat="1" applyFont="1" applyFill="1" applyBorder="1" applyAlignment="1" applyProtection="1">
      <alignment horizontal="center"/>
      <protection hidden="1"/>
    </xf>
    <xf numFmtId="164" fontId="7" fillId="3" borderId="23" xfId="0" applyNumberFormat="1" applyFont="1" applyFill="1" applyBorder="1" applyAlignment="1" applyProtection="1">
      <alignment horizontal="right"/>
      <protection hidden="1"/>
    </xf>
    <xf numFmtId="167" fontId="7" fillId="7" borderId="23" xfId="2" applyNumberFormat="1" applyFont="1" applyFill="1" applyBorder="1" applyAlignment="1" applyProtection="1">
      <alignment horizontal="center"/>
      <protection hidden="1"/>
    </xf>
    <xf numFmtId="164" fontId="7" fillId="7" borderId="23" xfId="0" applyNumberFormat="1" applyFont="1" applyFill="1" applyBorder="1" applyAlignment="1" applyProtection="1">
      <alignment horizontal="right"/>
      <protection hidden="1"/>
    </xf>
    <xf numFmtId="167" fontId="7" fillId="4" borderId="23" xfId="0" applyNumberFormat="1" applyFont="1" applyFill="1" applyBorder="1" applyAlignment="1" applyProtection="1">
      <alignment horizontal="center"/>
      <protection hidden="1"/>
    </xf>
    <xf numFmtId="164" fontId="7" fillId="4" borderId="23" xfId="0" applyNumberFormat="1" applyFont="1" applyFill="1" applyBorder="1" applyAlignment="1" applyProtection="1">
      <alignment horizontal="right"/>
      <protection hidden="1"/>
    </xf>
    <xf numFmtId="167" fontId="7" fillId="8" borderId="23" xfId="0" applyNumberFormat="1" applyFont="1" applyFill="1" applyBorder="1" applyProtection="1">
      <protection hidden="1"/>
    </xf>
    <xf numFmtId="167" fontId="7" fillId="11" borderId="23" xfId="0" applyNumberFormat="1" applyFont="1" applyFill="1" applyBorder="1" applyAlignment="1" applyProtection="1">
      <alignment horizontal="center"/>
      <protection hidden="1"/>
    </xf>
    <xf numFmtId="164" fontId="7" fillId="11" borderId="23" xfId="0" applyNumberFormat="1" applyFont="1" applyFill="1" applyBorder="1" applyProtection="1">
      <protection hidden="1"/>
    </xf>
    <xf numFmtId="167" fontId="7" fillId="9" borderId="23" xfId="0" applyNumberFormat="1" applyFont="1" applyFill="1" applyBorder="1" applyAlignment="1" applyProtection="1">
      <alignment horizontal="center"/>
      <protection hidden="1"/>
    </xf>
    <xf numFmtId="164" fontId="7" fillId="9" borderId="23" xfId="0" applyNumberFormat="1" applyFont="1" applyFill="1" applyBorder="1" applyProtection="1">
      <protection hidden="1"/>
    </xf>
    <xf numFmtId="167" fontId="7" fillId="10" borderId="23" xfId="0" applyNumberFormat="1" applyFont="1" applyFill="1" applyBorder="1" applyAlignment="1" applyProtection="1">
      <alignment horizontal="center"/>
      <protection hidden="1"/>
    </xf>
    <xf numFmtId="164" fontId="7" fillId="10" borderId="23" xfId="0" applyNumberFormat="1" applyFont="1" applyFill="1" applyBorder="1" applyProtection="1">
      <protection hidden="1"/>
    </xf>
    <xf numFmtId="49" fontId="19" fillId="6" borderId="23" xfId="8" applyNumberFormat="1" applyFont="1" applyFill="1" applyBorder="1" applyAlignment="1" applyProtection="1">
      <alignment horizontal="center"/>
      <protection hidden="1"/>
    </xf>
    <xf numFmtId="0" fontId="20" fillId="0" borderId="0" xfId="0" applyFont="1" applyProtection="1">
      <protection hidden="1"/>
    </xf>
    <xf numFmtId="0" fontId="19" fillId="0" borderId="0" xfId="0" applyFont="1" applyAlignment="1" applyProtection="1">
      <alignment horizontal="center"/>
      <protection hidden="1"/>
    </xf>
    <xf numFmtId="1" fontId="19" fillId="0" borderId="0" xfId="0" applyNumberFormat="1" applyFont="1" applyAlignment="1" applyProtection="1">
      <alignment horizontal="center"/>
      <protection hidden="1"/>
    </xf>
    <xf numFmtId="166" fontId="19" fillId="6" borderId="23" xfId="0" applyNumberFormat="1" applyFont="1" applyFill="1" applyBorder="1" applyAlignment="1" applyProtection="1">
      <alignment horizontal="center"/>
      <protection hidden="1"/>
    </xf>
    <xf numFmtId="164" fontId="19" fillId="6" borderId="23" xfId="0" applyNumberFormat="1" applyFont="1" applyFill="1" applyBorder="1" applyAlignment="1" applyProtection="1">
      <alignment horizontal="right"/>
      <protection hidden="1"/>
    </xf>
    <xf numFmtId="167" fontId="19" fillId="3" borderId="23" xfId="2" applyNumberFormat="1" applyFont="1" applyFill="1" applyBorder="1" applyAlignment="1" applyProtection="1">
      <alignment horizontal="center"/>
      <protection hidden="1"/>
    </xf>
    <xf numFmtId="164" fontId="19" fillId="3" borderId="23" xfId="0" applyNumberFormat="1" applyFont="1" applyFill="1" applyBorder="1" applyAlignment="1" applyProtection="1">
      <alignment horizontal="right"/>
      <protection hidden="1"/>
    </xf>
    <xf numFmtId="167" fontId="19" fillId="7" borderId="23" xfId="2" applyNumberFormat="1" applyFont="1" applyFill="1" applyBorder="1" applyAlignment="1" applyProtection="1">
      <alignment horizontal="center"/>
      <protection hidden="1"/>
    </xf>
    <xf numFmtId="164" fontId="19" fillId="7" borderId="23" xfId="0" applyNumberFormat="1" applyFont="1" applyFill="1" applyBorder="1" applyAlignment="1" applyProtection="1">
      <alignment horizontal="right"/>
      <protection hidden="1"/>
    </xf>
    <xf numFmtId="167" fontId="19" fillId="4" borderId="23" xfId="2" applyNumberFormat="1" applyFont="1" applyFill="1" applyBorder="1" applyAlignment="1" applyProtection="1">
      <alignment horizontal="center"/>
      <protection hidden="1"/>
    </xf>
    <xf numFmtId="164" fontId="19" fillId="4" borderId="23" xfId="0" applyNumberFormat="1" applyFont="1" applyFill="1" applyBorder="1" applyAlignment="1" applyProtection="1">
      <alignment horizontal="right"/>
      <protection hidden="1"/>
    </xf>
    <xf numFmtId="167" fontId="19" fillId="8" borderId="23" xfId="0" applyNumberFormat="1" applyFont="1" applyFill="1" applyBorder="1" applyProtection="1">
      <protection hidden="1"/>
    </xf>
    <xf numFmtId="167" fontId="19" fillId="8" borderId="23" xfId="0" applyNumberFormat="1" applyFont="1" applyFill="1" applyBorder="1" applyAlignment="1" applyProtection="1">
      <alignment horizontal="center"/>
      <protection hidden="1"/>
    </xf>
    <xf numFmtId="167" fontId="19" fillId="11" borderId="23" xfId="2" applyNumberFormat="1" applyFont="1" applyFill="1" applyBorder="1" applyAlignment="1" applyProtection="1">
      <alignment horizontal="center"/>
      <protection hidden="1"/>
    </xf>
    <xf numFmtId="164" fontId="19" fillId="11" borderId="23" xfId="0" applyNumberFormat="1" applyFont="1" applyFill="1" applyBorder="1" applyProtection="1">
      <protection hidden="1"/>
    </xf>
    <xf numFmtId="167" fontId="19" fillId="9" borderId="23" xfId="2" applyNumberFormat="1" applyFont="1" applyFill="1" applyBorder="1" applyAlignment="1" applyProtection="1">
      <alignment horizontal="center"/>
      <protection hidden="1"/>
    </xf>
    <xf numFmtId="164" fontId="19" fillId="9" borderId="23" xfId="0" applyNumberFormat="1" applyFont="1" applyFill="1" applyBorder="1" applyProtection="1">
      <protection hidden="1"/>
    </xf>
    <xf numFmtId="167" fontId="19" fillId="10" borderId="23" xfId="2" applyNumberFormat="1" applyFont="1" applyFill="1" applyBorder="1" applyAlignment="1" applyProtection="1">
      <alignment horizontal="center"/>
      <protection hidden="1"/>
    </xf>
    <xf numFmtId="164" fontId="19" fillId="10" borderId="23" xfId="0" applyNumberFormat="1" applyFont="1" applyFill="1" applyBorder="1" applyProtection="1">
      <protection hidden="1"/>
    </xf>
    <xf numFmtId="164" fontId="19" fillId="4" borderId="23" xfId="0" applyNumberFormat="1" applyFont="1" applyFill="1" applyBorder="1" applyProtection="1">
      <protection hidden="1"/>
    </xf>
    <xf numFmtId="164" fontId="19" fillId="3" borderId="23" xfId="0" applyNumberFormat="1" applyFont="1" applyFill="1" applyBorder="1" applyProtection="1">
      <protection hidden="1"/>
    </xf>
    <xf numFmtId="0" fontId="19" fillId="0" borderId="22" xfId="0" applyFont="1" applyBorder="1" applyProtection="1">
      <protection hidden="1"/>
    </xf>
    <xf numFmtId="0" fontId="7" fillId="0" borderId="22" xfId="0" applyFont="1" applyBorder="1" applyAlignment="1" applyProtection="1">
      <alignment horizontal="center"/>
      <protection hidden="1"/>
    </xf>
    <xf numFmtId="1" fontId="19" fillId="0" borderId="22" xfId="0" applyNumberFormat="1" applyFont="1" applyBorder="1" applyAlignment="1" applyProtection="1">
      <alignment horizontal="center"/>
      <protection hidden="1"/>
    </xf>
    <xf numFmtId="166" fontId="19" fillId="6" borderId="24" xfId="0" applyNumberFormat="1" applyFont="1" applyFill="1" applyBorder="1" applyAlignment="1" applyProtection="1">
      <alignment horizontal="center"/>
      <protection hidden="1"/>
    </xf>
    <xf numFmtId="164" fontId="19" fillId="6" borderId="24" xfId="0" applyNumberFormat="1" applyFont="1" applyFill="1" applyBorder="1" applyAlignment="1" applyProtection="1">
      <alignment horizontal="right"/>
      <protection hidden="1"/>
    </xf>
    <xf numFmtId="166" fontId="19" fillId="6" borderId="24" xfId="2" applyNumberFormat="1" applyFont="1" applyFill="1" applyBorder="1" applyAlignment="1" applyProtection="1">
      <alignment horizontal="center"/>
      <protection hidden="1"/>
    </xf>
    <xf numFmtId="164" fontId="19" fillId="6" borderId="24" xfId="2" applyNumberFormat="1" applyFont="1" applyFill="1" applyBorder="1" applyAlignment="1" applyProtection="1">
      <alignment horizontal="right"/>
      <protection hidden="1"/>
    </xf>
    <xf numFmtId="166" fontId="19" fillId="6" borderId="24" xfId="8" applyNumberFormat="1" applyFont="1" applyFill="1" applyBorder="1" applyAlignment="1" applyProtection="1">
      <alignment horizontal="center"/>
      <protection hidden="1"/>
    </xf>
    <xf numFmtId="167" fontId="19" fillId="3" borderId="24" xfId="2" applyNumberFormat="1" applyFont="1" applyFill="1" applyBorder="1" applyAlignment="1" applyProtection="1">
      <alignment horizontal="center"/>
      <protection hidden="1"/>
    </xf>
    <xf numFmtId="164" fontId="19" fillId="3" borderId="24" xfId="0" applyNumberFormat="1" applyFont="1" applyFill="1" applyBorder="1" applyProtection="1">
      <protection hidden="1"/>
    </xf>
    <xf numFmtId="167" fontId="19" fillId="7" borderId="24" xfId="2" applyNumberFormat="1" applyFont="1" applyFill="1" applyBorder="1" applyAlignment="1" applyProtection="1">
      <alignment horizontal="center"/>
      <protection hidden="1"/>
    </xf>
    <xf numFmtId="164" fontId="19" fillId="7" borderId="24" xfId="0" applyNumberFormat="1" applyFont="1" applyFill="1" applyBorder="1" applyAlignment="1" applyProtection="1">
      <alignment horizontal="right"/>
      <protection hidden="1"/>
    </xf>
    <xf numFmtId="167" fontId="19" fillId="4" borderId="24" xfId="2" applyNumberFormat="1" applyFont="1" applyFill="1" applyBorder="1" applyAlignment="1" applyProtection="1">
      <alignment horizontal="center"/>
      <protection hidden="1"/>
    </xf>
    <xf numFmtId="164" fontId="19" fillId="4" borderId="24" xfId="0" applyNumberFormat="1" applyFont="1" applyFill="1" applyBorder="1" applyProtection="1">
      <protection hidden="1"/>
    </xf>
    <xf numFmtId="167" fontId="19" fillId="8" borderId="24" xfId="0" applyNumberFormat="1" applyFont="1" applyFill="1" applyBorder="1" applyProtection="1">
      <protection hidden="1"/>
    </xf>
    <xf numFmtId="167" fontId="19" fillId="8" borderId="24" xfId="0" applyNumberFormat="1" applyFont="1" applyFill="1" applyBorder="1" applyAlignment="1" applyProtection="1">
      <alignment horizontal="center"/>
      <protection hidden="1"/>
    </xf>
    <xf numFmtId="167" fontId="19" fillId="11" borderId="24" xfId="2" applyNumberFormat="1" applyFont="1" applyFill="1" applyBorder="1" applyAlignment="1" applyProtection="1">
      <alignment horizontal="center"/>
      <protection hidden="1"/>
    </xf>
    <xf numFmtId="164" fontId="19" fillId="11" borderId="24" xfId="0" applyNumberFormat="1" applyFont="1" applyFill="1" applyBorder="1" applyProtection="1">
      <protection hidden="1"/>
    </xf>
    <xf numFmtId="167" fontId="19" fillId="9" borderId="24" xfId="2" applyNumberFormat="1" applyFont="1" applyFill="1" applyBorder="1" applyAlignment="1" applyProtection="1">
      <alignment horizontal="center"/>
      <protection hidden="1"/>
    </xf>
    <xf numFmtId="164" fontId="19" fillId="9" borderId="24" xfId="0" applyNumberFormat="1" applyFont="1" applyFill="1" applyBorder="1" applyProtection="1">
      <protection hidden="1"/>
    </xf>
    <xf numFmtId="167" fontId="19" fillId="10" borderId="24" xfId="2" applyNumberFormat="1" applyFont="1" applyFill="1" applyBorder="1" applyAlignment="1" applyProtection="1">
      <alignment horizontal="center"/>
      <protection hidden="1"/>
    </xf>
    <xf numFmtId="164" fontId="19" fillId="10" borderId="24" xfId="0" applyNumberFormat="1" applyFont="1" applyFill="1" applyBorder="1" applyProtection="1">
      <protection hidden="1"/>
    </xf>
    <xf numFmtId="1" fontId="18" fillId="0" borderId="0" xfId="0" applyNumberFormat="1" applyFont="1" applyAlignment="1" applyProtection="1">
      <alignment horizontal="right"/>
      <protection hidden="1"/>
    </xf>
    <xf numFmtId="166" fontId="19" fillId="6" borderId="0" xfId="0" applyNumberFormat="1" applyFont="1" applyFill="1" applyProtection="1">
      <protection hidden="1"/>
    </xf>
    <xf numFmtId="0" fontId="19" fillId="6" borderId="22" xfId="0" applyFont="1" applyFill="1" applyBorder="1" applyProtection="1">
      <protection hidden="1"/>
    </xf>
    <xf numFmtId="0" fontId="18" fillId="6" borderId="22" xfId="0" applyFont="1" applyFill="1" applyBorder="1" applyAlignment="1" applyProtection="1">
      <alignment horizontal="center"/>
      <protection hidden="1"/>
    </xf>
    <xf numFmtId="167" fontId="19" fillId="3" borderId="24" xfId="0" applyNumberFormat="1" applyFont="1" applyFill="1" applyBorder="1" applyAlignment="1" applyProtection="1">
      <alignment horizontal="center"/>
      <protection hidden="1"/>
    </xf>
    <xf numFmtId="164" fontId="19" fillId="3" borderId="24" xfId="2" applyNumberFormat="1" applyFont="1" applyFill="1" applyBorder="1" applyAlignment="1" applyProtection="1">
      <protection hidden="1"/>
    </xf>
    <xf numFmtId="167" fontId="19" fillId="7" borderId="24" xfId="0" applyNumberFormat="1" applyFont="1" applyFill="1" applyBorder="1" applyAlignment="1" applyProtection="1">
      <alignment horizontal="center"/>
      <protection hidden="1"/>
    </xf>
    <xf numFmtId="167" fontId="19" fillId="4" borderId="24" xfId="0" applyNumberFormat="1" applyFont="1" applyFill="1" applyBorder="1" applyAlignment="1" applyProtection="1">
      <alignment horizontal="center"/>
      <protection hidden="1"/>
    </xf>
    <xf numFmtId="167" fontId="19" fillId="11" borderId="24" xfId="0" applyNumberFormat="1" applyFont="1" applyFill="1" applyBorder="1" applyAlignment="1" applyProtection="1">
      <alignment horizontal="center"/>
      <protection hidden="1"/>
    </xf>
    <xf numFmtId="167" fontId="19" fillId="9" borderId="24" xfId="0" applyNumberFormat="1" applyFont="1" applyFill="1" applyBorder="1" applyAlignment="1" applyProtection="1">
      <alignment horizontal="center"/>
      <protection hidden="1"/>
    </xf>
    <xf numFmtId="164" fontId="19" fillId="0" borderId="0" xfId="0" applyNumberFormat="1" applyFont="1" applyProtection="1">
      <protection hidden="1"/>
    </xf>
    <xf numFmtId="167" fontId="19" fillId="0" borderId="0" xfId="2" applyNumberFormat="1" applyFont="1" applyAlignment="1" applyProtection="1">
      <alignment horizontal="center"/>
      <protection hidden="1"/>
    </xf>
    <xf numFmtId="167" fontId="19" fillId="0" borderId="0" xfId="2" applyNumberFormat="1" applyFont="1" applyAlignment="1" applyProtection="1">
      <protection hidden="1"/>
    </xf>
    <xf numFmtId="0" fontId="18" fillId="0" borderId="0" xfId="0" applyFont="1" applyAlignment="1" applyProtection="1">
      <alignment horizontal="center"/>
      <protection hidden="1"/>
    </xf>
    <xf numFmtId="164" fontId="19" fillId="0" borderId="0" xfId="0" applyNumberFormat="1" applyFont="1" applyAlignment="1" applyProtection="1">
      <alignment horizontal="center"/>
      <protection hidden="1"/>
    </xf>
    <xf numFmtId="0" fontId="18" fillId="0" borderId="0" xfId="0" applyFont="1" applyProtection="1">
      <protection hidden="1"/>
    </xf>
    <xf numFmtId="0" fontId="20" fillId="0" borderId="0" xfId="0" applyFont="1" applyAlignment="1" applyProtection="1">
      <alignment horizontal="center"/>
      <protection hidden="1"/>
    </xf>
    <xf numFmtId="164" fontId="20" fillId="0" borderId="0" xfId="0" applyNumberFormat="1" applyFont="1" applyProtection="1">
      <protection hidden="1"/>
    </xf>
    <xf numFmtId="164" fontId="20" fillId="0" borderId="0" xfId="0" applyNumberFormat="1" applyFont="1" applyAlignment="1" applyProtection="1">
      <alignment horizontal="center"/>
      <protection hidden="1"/>
    </xf>
    <xf numFmtId="0" fontId="7" fillId="5" borderId="0" xfId="0" applyFont="1" applyFill="1" applyAlignment="1" applyProtection="1">
      <alignment horizontal="center"/>
      <protection hidden="1"/>
    </xf>
    <xf numFmtId="0" fontId="7" fillId="11" borderId="0" xfId="0" applyFont="1" applyFill="1" applyAlignment="1" applyProtection="1">
      <alignment horizontal="center"/>
      <protection hidden="1"/>
    </xf>
    <xf numFmtId="0" fontId="7" fillId="12" borderId="0" xfId="0" applyFont="1" applyFill="1" applyAlignment="1" applyProtection="1">
      <alignment horizontal="left"/>
      <protection hidden="1"/>
    </xf>
    <xf numFmtId="0" fontId="7" fillId="7" borderId="0" xfId="0" applyFont="1" applyFill="1" applyAlignment="1" applyProtection="1">
      <alignment horizontal="center" vertical="center"/>
      <protection hidden="1"/>
    </xf>
    <xf numFmtId="0" fontId="7" fillId="15" borderId="0" xfId="0" applyFont="1" applyFill="1" applyAlignment="1" applyProtection="1">
      <alignment horizontal="center"/>
      <protection hidden="1"/>
    </xf>
    <xf numFmtId="0" fontId="7" fillId="11" borderId="0" xfId="0" applyFont="1" applyFill="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7" fillId="12" borderId="0" xfId="0" applyFont="1" applyFill="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protection hidden="1"/>
    </xf>
    <xf numFmtId="0" fontId="7" fillId="0" borderId="0" xfId="0" applyFont="1" applyAlignment="1" applyProtection="1">
      <alignment horizontal="left" vertical="center"/>
      <protection hidden="1"/>
    </xf>
    <xf numFmtId="0" fontId="10" fillId="0" borderId="0" xfId="0" applyFont="1" applyAlignment="1" applyProtection="1">
      <alignment horizontal="left"/>
      <protection hidden="1"/>
    </xf>
    <xf numFmtId="0" fontId="9" fillId="0" borderId="0" xfId="0" applyFont="1" applyAlignment="1" applyProtection="1">
      <alignment horizontal="left"/>
      <protection hidden="1"/>
    </xf>
    <xf numFmtId="164" fontId="5" fillId="0" borderId="0" xfId="0" applyNumberFormat="1" applyFont="1" applyAlignment="1" applyProtection="1">
      <alignment horizontal="left"/>
      <protection hidden="1"/>
    </xf>
    <xf numFmtId="0" fontId="2" fillId="0" borderId="0" xfId="0" applyFont="1" applyAlignment="1" applyProtection="1">
      <alignment horizontal="left"/>
      <protection hidden="1"/>
    </xf>
    <xf numFmtId="0" fontId="2" fillId="0" borderId="0" xfId="0" applyFont="1" applyAlignment="1" applyProtection="1">
      <alignment horizontal="left" vertical="center"/>
      <protection hidden="1"/>
    </xf>
    <xf numFmtId="0" fontId="7" fillId="0" borderId="0" xfId="0" applyFont="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pplyProtection="1">
      <alignment horizontal="center"/>
      <protection locked="0"/>
    </xf>
    <xf numFmtId="167" fontId="21" fillId="0" borderId="0" xfId="2" applyNumberFormat="1" applyFont="1" applyBorder="1" applyAlignment="1" applyProtection="1">
      <alignment horizontal="center" vertical="top" wrapText="1"/>
      <protection locked="0"/>
    </xf>
    <xf numFmtId="0" fontId="15" fillId="0" borderId="0" xfId="0" applyFont="1" applyAlignment="1" applyProtection="1">
      <alignment horizontal="center" vertical="center" wrapText="1"/>
      <protection locked="0"/>
    </xf>
    <xf numFmtId="0" fontId="10" fillId="0" borderId="0" xfId="0" applyFont="1" applyProtection="1">
      <protection locked="0"/>
    </xf>
    <xf numFmtId="0" fontId="3" fillId="0" borderId="10" xfId="0" applyFont="1" applyBorder="1" applyAlignment="1" applyProtection="1">
      <alignment horizontal="center"/>
      <protection locked="0"/>
    </xf>
    <xf numFmtId="0" fontId="5" fillId="0" borderId="0" xfId="0" applyFont="1" applyAlignment="1" applyProtection="1">
      <alignment horizontal="center"/>
      <protection locked="0"/>
    </xf>
    <xf numFmtId="164" fontId="10" fillId="0" borderId="0" xfId="0" applyNumberFormat="1" applyFont="1" applyAlignment="1" applyProtection="1">
      <alignment horizontal="center"/>
      <protection locked="0"/>
    </xf>
    <xf numFmtId="0" fontId="10" fillId="0" borderId="0" xfId="0" applyFont="1" applyAlignment="1" applyProtection="1">
      <alignment horizontal="center"/>
      <protection locked="0"/>
    </xf>
    <xf numFmtId="0" fontId="5" fillId="0" borderId="0" xfId="0" applyFont="1" applyProtection="1">
      <protection locked="0"/>
    </xf>
    <xf numFmtId="0" fontId="3" fillId="0" borderId="0" xfId="0" applyFont="1" applyAlignment="1" applyProtection="1">
      <alignment vertical="center"/>
      <protection locked="0"/>
    </xf>
    <xf numFmtId="10" fontId="5" fillId="0" borderId="0" xfId="2" applyNumberFormat="1" applyFont="1" applyBorder="1" applyAlignment="1" applyProtection="1">
      <alignment horizontal="center" vertical="center"/>
      <protection locked="0"/>
    </xf>
    <xf numFmtId="0" fontId="3" fillId="0" borderId="0" xfId="0" applyFont="1" applyProtection="1">
      <protection locked="0"/>
    </xf>
    <xf numFmtId="0" fontId="10" fillId="0" borderId="0" xfId="0" applyFont="1" applyAlignment="1" applyProtection="1">
      <alignment vertical="center"/>
      <protection locked="0"/>
    </xf>
    <xf numFmtId="9" fontId="10" fillId="0" borderId="0" xfId="2" applyFont="1" applyBorder="1" applyAlignment="1" applyProtection="1">
      <alignment horizontal="center"/>
      <protection locked="0"/>
    </xf>
    <xf numFmtId="0" fontId="10" fillId="0" borderId="0" xfId="0" applyFont="1" applyAlignment="1" applyProtection="1">
      <alignment horizontal="center" vertical="center"/>
      <protection locked="0"/>
    </xf>
    <xf numFmtId="9" fontId="5" fillId="0" borderId="0" xfId="2" applyFont="1" applyBorder="1" applyAlignment="1" applyProtection="1">
      <alignment horizontal="center"/>
      <protection locked="0"/>
    </xf>
    <xf numFmtId="9" fontId="5" fillId="0" borderId="0" xfId="2" applyFont="1" applyFill="1" applyBorder="1" applyAlignment="1" applyProtection="1">
      <alignment horizontal="center"/>
      <protection locked="0"/>
    </xf>
    <xf numFmtId="0" fontId="5" fillId="0" borderId="0" xfId="0" applyFont="1" applyAlignment="1" applyProtection="1">
      <alignment horizontal="right"/>
      <protection locked="0"/>
    </xf>
    <xf numFmtId="167" fontId="5" fillId="0" borderId="0" xfId="0" applyNumberFormat="1" applyFont="1" applyAlignment="1" applyProtection="1">
      <alignment horizontal="center"/>
      <protection locked="0"/>
    </xf>
    <xf numFmtId="164" fontId="5" fillId="0" borderId="7" xfId="0" applyNumberFormat="1" applyFont="1" applyBorder="1" applyAlignment="1" applyProtection="1">
      <alignment horizontal="right"/>
      <protection locked="0"/>
    </xf>
    <xf numFmtId="0" fontId="5" fillId="0" borderId="7" xfId="0" applyFont="1" applyBorder="1" applyAlignment="1" applyProtection="1">
      <alignment horizontal="right"/>
      <protection locked="0"/>
    </xf>
    <xf numFmtId="164" fontId="10" fillId="0" borderId="7" xfId="0" applyNumberFormat="1" applyFont="1" applyBorder="1" applyAlignment="1" applyProtection="1">
      <alignment horizontal="right"/>
      <protection locked="0"/>
    </xf>
    <xf numFmtId="9" fontId="5" fillId="0" borderId="0" xfId="2" applyFont="1" applyBorder="1" applyAlignment="1" applyProtection="1">
      <alignment horizontal="right"/>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vertical="top"/>
      <protection locked="0"/>
    </xf>
    <xf numFmtId="0" fontId="2" fillId="0" borderId="10" xfId="0" applyFont="1" applyBorder="1" applyAlignment="1" applyProtection="1">
      <alignment horizontal="center" vertical="top"/>
      <protection locked="0"/>
    </xf>
    <xf numFmtId="0" fontId="7" fillId="0" borderId="10" xfId="0" applyFont="1" applyBorder="1" applyAlignment="1" applyProtection="1">
      <alignment horizontal="left" vertical="top"/>
      <protection locked="0"/>
    </xf>
    <xf numFmtId="0" fontId="0" fillId="0" borderId="0" xfId="0" applyAlignment="1" applyProtection="1">
      <alignment horizontal="center" vertical="top"/>
      <protection locked="0"/>
    </xf>
    <xf numFmtId="0" fontId="3" fillId="0" borderId="0" xfId="0" applyFont="1" applyAlignment="1" applyProtection="1">
      <alignment horizontal="left" vertical="top"/>
      <protection locked="0"/>
    </xf>
    <xf numFmtId="0" fontId="12" fillId="0" borderId="0" xfId="0" applyFont="1" applyAlignment="1" applyProtection="1">
      <alignment vertical="center"/>
      <protection locked="0"/>
    </xf>
    <xf numFmtId="0" fontId="15" fillId="0" borderId="0" xfId="0" applyFont="1" applyAlignment="1" applyProtection="1">
      <alignment horizontal="left" wrapText="1"/>
      <protection locked="0"/>
    </xf>
    <xf numFmtId="0" fontId="15" fillId="0" borderId="0" xfId="0" applyFont="1" applyAlignment="1" applyProtection="1">
      <alignment horizontal="center" wrapText="1"/>
      <protection locked="0"/>
    </xf>
    <xf numFmtId="0" fontId="3" fillId="0" borderId="7" xfId="0" applyFont="1" applyBorder="1" applyAlignment="1" applyProtection="1">
      <alignment horizontal="center"/>
      <protection locked="0"/>
    </xf>
    <xf numFmtId="0" fontId="11" fillId="0" borderId="0" xfId="0" applyFont="1" applyAlignment="1" applyProtection="1">
      <alignment horizontal="center"/>
      <protection locked="0"/>
    </xf>
    <xf numFmtId="0" fontId="3" fillId="0" borderId="8" xfId="0" applyFont="1" applyBorder="1" applyAlignment="1" applyProtection="1">
      <alignment horizontal="center"/>
      <protection locked="0"/>
    </xf>
    <xf numFmtId="164" fontId="3" fillId="0" borderId="0" xfId="0" applyNumberFormat="1" applyFont="1" applyAlignment="1" applyProtection="1">
      <alignment horizontal="right"/>
      <protection locked="0"/>
    </xf>
    <xf numFmtId="0" fontId="3" fillId="0" borderId="8" xfId="0" applyFont="1" applyBorder="1" applyProtection="1">
      <protection locked="0"/>
    </xf>
    <xf numFmtId="0" fontId="16" fillId="0" borderId="7" xfId="0" applyFont="1" applyBorder="1" applyProtection="1">
      <protection locked="0"/>
    </xf>
    <xf numFmtId="0" fontId="16" fillId="0" borderId="0" xfId="0" applyFont="1" applyProtection="1">
      <protection locked="0"/>
    </xf>
    <xf numFmtId="0" fontId="9" fillId="0" borderId="7" xfId="0" applyFont="1" applyBorder="1" applyProtection="1">
      <protection locked="0"/>
    </xf>
    <xf numFmtId="10" fontId="3" fillId="0" borderId="0" xfId="2" applyNumberFormat="1" applyFont="1" applyBorder="1" applyAlignment="1" applyProtection="1">
      <alignment horizontal="center"/>
      <protection locked="0"/>
    </xf>
    <xf numFmtId="0" fontId="9" fillId="0" borderId="8" xfId="0" applyFont="1" applyBorder="1" applyProtection="1">
      <protection locked="0"/>
    </xf>
    <xf numFmtId="164" fontId="9" fillId="0" borderId="0" xfId="0" applyNumberFormat="1" applyFont="1" applyAlignment="1" applyProtection="1">
      <alignment horizontal="right"/>
      <protection locked="0"/>
    </xf>
    <xf numFmtId="0" fontId="0" fillId="0" borderId="7" xfId="0" applyBorder="1" applyProtection="1">
      <protection locked="0"/>
    </xf>
    <xf numFmtId="0" fontId="2" fillId="0" borderId="8" xfId="0" applyFont="1" applyBorder="1" applyProtection="1">
      <protection locked="0"/>
    </xf>
    <xf numFmtId="0" fontId="0" fillId="0" borderId="9" xfId="0" applyBorder="1" applyProtection="1">
      <protection locked="0"/>
    </xf>
    <xf numFmtId="0" fontId="0" fillId="0" borderId="10" xfId="0" applyBorder="1" applyProtection="1">
      <protection locked="0"/>
    </xf>
    <xf numFmtId="0" fontId="2" fillId="0" borderId="11" xfId="0" applyFont="1" applyBorder="1" applyProtection="1">
      <protection locked="0"/>
    </xf>
    <xf numFmtId="0" fontId="2" fillId="0" borderId="10" xfId="0" applyFont="1" applyBorder="1" applyProtection="1">
      <protection locked="0"/>
    </xf>
    <xf numFmtId="6" fontId="3" fillId="0" borderId="0" xfId="0" applyNumberFormat="1" applyFont="1" applyAlignment="1" applyProtection="1">
      <alignment horizontal="right"/>
      <protection locked="0"/>
    </xf>
    <xf numFmtId="6" fontId="3" fillId="0" borderId="0" xfId="0" applyNumberFormat="1" applyFont="1" applyAlignment="1" applyProtection="1">
      <alignment horizontal="left"/>
      <protection locked="0"/>
    </xf>
    <xf numFmtId="0" fontId="13" fillId="0" borderId="0" xfId="0" applyFont="1" applyProtection="1">
      <protection locked="0"/>
    </xf>
    <xf numFmtId="6" fontId="0" fillId="0" borderId="0" xfId="0" applyNumberFormat="1" applyProtection="1">
      <protection locked="0"/>
    </xf>
    <xf numFmtId="0" fontId="0" fillId="0" borderId="8" xfId="0" applyBorder="1" applyProtection="1">
      <protection locked="0"/>
    </xf>
    <xf numFmtId="0" fontId="22" fillId="0" borderId="0" xfId="9" applyFont="1" applyProtection="1">
      <protection locked="0"/>
    </xf>
    <xf numFmtId="0" fontId="23" fillId="0" borderId="0" xfId="9" applyFont="1" applyProtection="1">
      <protection locked="0"/>
    </xf>
    <xf numFmtId="0" fontId="2" fillId="0" borderId="0" xfId="0" applyFont="1" applyProtection="1">
      <protection locked="0"/>
    </xf>
    <xf numFmtId="0" fontId="5" fillId="0" borderId="0" xfId="0" applyFont="1" applyAlignment="1">
      <alignment vertical="center" wrapText="1"/>
    </xf>
    <xf numFmtId="0" fontId="5" fillId="3" borderId="1" xfId="0" applyFont="1" applyFill="1" applyBorder="1" applyAlignment="1">
      <alignment horizontal="center"/>
    </xf>
    <xf numFmtId="0" fontId="10" fillId="0" borderId="0" xfId="0" applyFont="1" applyAlignment="1">
      <alignment horizontal="center" vertical="center"/>
    </xf>
    <xf numFmtId="0" fontId="15" fillId="0" borderId="0" xfId="0" applyFont="1" applyAlignment="1">
      <alignment wrapText="1"/>
    </xf>
    <xf numFmtId="0" fontId="15" fillId="0" borderId="0" xfId="0" applyFont="1"/>
    <xf numFmtId="0" fontId="3" fillId="0" borderId="10" xfId="0" applyFont="1" applyBorder="1" applyAlignment="1" applyProtection="1">
      <alignment horizontal="right"/>
      <protection locked="0"/>
    </xf>
    <xf numFmtId="0" fontId="10" fillId="0" borderId="0" xfId="0" applyFont="1" applyProtection="1">
      <protection hidden="1"/>
    </xf>
    <xf numFmtId="0" fontId="2" fillId="0" borderId="0" xfId="0" applyFont="1" applyAlignment="1" applyProtection="1">
      <alignment horizontal="center" vertical="center"/>
      <protection hidden="1"/>
    </xf>
    <xf numFmtId="6" fontId="5" fillId="0" borderId="0" xfId="0" applyNumberFormat="1" applyFont="1" applyAlignment="1" applyProtection="1">
      <alignment horizontal="right"/>
      <protection hidden="1"/>
    </xf>
    <xf numFmtId="0" fontId="29" fillId="0" borderId="0" xfId="0" applyFont="1" applyAlignment="1" applyProtection="1">
      <alignment horizontal="center"/>
      <protection hidden="1"/>
    </xf>
    <xf numFmtId="0" fontId="29" fillId="0" borderId="0" xfId="0" applyFont="1" applyAlignment="1" applyProtection="1">
      <alignment horizontal="center" vertical="center"/>
      <protection hidden="1"/>
    </xf>
    <xf numFmtId="0" fontId="7" fillId="16" borderId="26" xfId="4" applyFill="1" applyBorder="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right"/>
      <protection hidden="1"/>
    </xf>
    <xf numFmtId="164" fontId="7" fillId="0" borderId="0" xfId="0" applyNumberFormat="1" applyFont="1" applyProtection="1">
      <protection hidden="1"/>
    </xf>
    <xf numFmtId="0" fontId="32" fillId="0" borderId="0" xfId="0" applyFont="1" applyProtection="1">
      <protection hidden="1"/>
    </xf>
    <xf numFmtId="164" fontId="2" fillId="0" borderId="0" xfId="0" applyNumberFormat="1" applyFont="1" applyAlignment="1" applyProtection="1">
      <alignment horizontal="left"/>
      <protection hidden="1"/>
    </xf>
    <xf numFmtId="10" fontId="2" fillId="0" borderId="0" xfId="2" applyNumberFormat="1" applyFont="1" applyBorder="1" applyAlignment="1" applyProtection="1">
      <alignment horizontal="center" vertical="center"/>
      <protection hidden="1"/>
    </xf>
    <xf numFmtId="0" fontId="2" fillId="0" borderId="0" xfId="0" applyFont="1" applyAlignment="1" applyProtection="1">
      <alignment vertical="center"/>
      <protection hidden="1"/>
    </xf>
    <xf numFmtId="9" fontId="2" fillId="0" borderId="0" xfId="2" applyFont="1" applyBorder="1" applyAlignment="1" applyProtection="1">
      <alignment horizontal="center"/>
      <protection hidden="1"/>
    </xf>
    <xf numFmtId="0" fontId="31" fillId="16" borderId="26" xfId="4" applyFont="1" applyFill="1" applyBorder="1" applyAlignment="1" applyProtection="1">
      <alignment horizontal="left" vertical="center"/>
      <protection hidden="1"/>
    </xf>
    <xf numFmtId="9" fontId="2" fillId="0" borderId="0" xfId="2" applyFont="1" applyFill="1" applyBorder="1" applyAlignment="1" applyProtection="1">
      <alignment horizontal="center"/>
      <protection hidden="1"/>
    </xf>
    <xf numFmtId="0" fontId="2" fillId="0" borderId="0" xfId="0" applyFont="1" applyAlignment="1" applyProtection="1">
      <alignment horizontal="right"/>
      <protection hidden="1"/>
    </xf>
    <xf numFmtId="0" fontId="7" fillId="16" borderId="0" xfId="0" applyFont="1" applyFill="1" applyProtection="1">
      <protection hidden="1"/>
    </xf>
    <xf numFmtId="0" fontId="7" fillId="16" borderId="28" xfId="4" applyFill="1" applyBorder="1" applyAlignment="1" applyProtection="1">
      <alignment horizontal="left" vertical="center"/>
      <protection hidden="1"/>
    </xf>
    <xf numFmtId="0" fontId="7" fillId="0" borderId="0" xfId="0" applyFont="1" applyAlignment="1" applyProtection="1">
      <alignment horizontal="left" vertical="top"/>
      <protection hidden="1"/>
    </xf>
    <xf numFmtId="0" fontId="7" fillId="0" borderId="0" xfId="0" applyFont="1" applyAlignment="1" applyProtection="1">
      <alignment vertical="top"/>
      <protection hidden="1"/>
    </xf>
    <xf numFmtId="0" fontId="10" fillId="0" borderId="0" xfId="0" applyFont="1" applyAlignment="1">
      <alignment horizontal="right" vertical="center" wrapText="1"/>
    </xf>
    <xf numFmtId="0" fontId="15" fillId="0" borderId="0" xfId="0" applyFont="1" applyAlignment="1">
      <alignment vertical="center"/>
    </xf>
    <xf numFmtId="9" fontId="28" fillId="0" borderId="0" xfId="2" applyFont="1" applyBorder="1" applyAlignment="1" applyProtection="1">
      <alignment horizontal="left" vertical="center"/>
    </xf>
    <xf numFmtId="0" fontId="13" fillId="0" borderId="0" xfId="0" applyFont="1" applyAlignment="1" applyProtection="1">
      <alignment horizontal="right"/>
      <protection locked="0"/>
    </xf>
    <xf numFmtId="49" fontId="5" fillId="0" borderId="0" xfId="0" applyNumberFormat="1" applyFont="1" applyAlignment="1">
      <alignment horizontal="left" vertical="top"/>
    </xf>
    <xf numFmtId="0" fontId="5" fillId="0" borderId="0" xfId="0" applyFont="1" applyAlignment="1" applyProtection="1">
      <alignment horizontal="left"/>
      <protection locked="0"/>
    </xf>
    <xf numFmtId="164" fontId="10" fillId="0" borderId="7" xfId="2" applyNumberFormat="1" applyFont="1" applyBorder="1" applyAlignment="1" applyProtection="1">
      <alignment horizontal="center"/>
      <protection locked="0"/>
    </xf>
    <xf numFmtId="49" fontId="10" fillId="0" borderId="0" xfId="2" applyNumberFormat="1" applyFont="1" applyBorder="1" applyAlignment="1" applyProtection="1">
      <alignment horizontal="left"/>
      <protection locked="0"/>
    </xf>
    <xf numFmtId="167" fontId="30" fillId="14" borderId="1" xfId="2" applyNumberFormat="1" applyFont="1" applyFill="1" applyBorder="1" applyAlignment="1" applyProtection="1">
      <alignment horizontal="center"/>
    </xf>
    <xf numFmtId="167" fontId="30" fillId="14" borderId="15" xfId="2" applyNumberFormat="1" applyFont="1" applyFill="1" applyBorder="1" applyAlignment="1" applyProtection="1">
      <alignment horizontal="center"/>
    </xf>
    <xf numFmtId="167" fontId="30" fillId="14" borderId="13" xfId="2" applyNumberFormat="1" applyFont="1" applyFill="1" applyBorder="1" applyAlignment="1" applyProtection="1">
      <alignment horizontal="center"/>
    </xf>
    <xf numFmtId="0" fontId="33" fillId="0" borderId="1" xfId="0" applyFont="1" applyBorder="1" applyAlignment="1">
      <alignment horizontal="center"/>
    </xf>
    <xf numFmtId="0" fontId="33" fillId="0" borderId="8" xfId="0" applyFont="1" applyBorder="1" applyAlignment="1">
      <alignment horizontal="center" wrapText="1"/>
    </xf>
    <xf numFmtId="0" fontId="33" fillId="0" borderId="13" xfId="1" applyNumberFormat="1" applyFont="1" applyBorder="1" applyAlignment="1" applyProtection="1">
      <alignment horizontal="center"/>
    </xf>
    <xf numFmtId="0" fontId="33" fillId="0" borderId="13" xfId="0" applyFont="1" applyBorder="1" applyAlignment="1">
      <alignment horizontal="center"/>
    </xf>
    <xf numFmtId="0" fontId="33" fillId="0" borderId="1" xfId="0" applyFont="1" applyBorder="1" applyAlignment="1">
      <alignment horizontal="center" wrapText="1"/>
    </xf>
    <xf numFmtId="0" fontId="33" fillId="0" borderId="2" xfId="0" applyFont="1" applyBorder="1" applyAlignment="1">
      <alignment horizontal="center" wrapText="1"/>
    </xf>
    <xf numFmtId="1" fontId="30" fillId="0" borderId="1" xfId="0" applyNumberFormat="1" applyFont="1" applyBorder="1" applyAlignment="1" applyProtection="1">
      <alignment horizontal="center" vertical="center"/>
      <protection locked="0"/>
    </xf>
    <xf numFmtId="3" fontId="30" fillId="0" borderId="1" xfId="0" applyNumberFormat="1" applyFont="1" applyBorder="1" applyAlignment="1" applyProtection="1">
      <alignment horizontal="center" vertical="center"/>
      <protection locked="0"/>
    </xf>
    <xf numFmtId="3" fontId="30" fillId="14" borderId="2" xfId="0" applyNumberFormat="1" applyFont="1" applyFill="1" applyBorder="1" applyAlignment="1">
      <alignment vertical="center"/>
    </xf>
    <xf numFmtId="164" fontId="30" fillId="0" borderId="1" xfId="0" applyNumberFormat="1" applyFont="1" applyBorder="1" applyAlignment="1" applyProtection="1">
      <alignment vertical="center"/>
      <protection locked="0"/>
    </xf>
    <xf numFmtId="0" fontId="34" fillId="0" borderId="4" xfId="0" applyFont="1" applyBorder="1" applyAlignment="1" applyProtection="1">
      <alignment horizontal="right"/>
      <protection locked="0"/>
    </xf>
    <xf numFmtId="0" fontId="33" fillId="14" borderId="1" xfId="0" applyFont="1" applyFill="1" applyBorder="1" applyAlignment="1">
      <alignment horizontal="center" vertical="center"/>
    </xf>
    <xf numFmtId="3" fontId="33" fillId="0" borderId="1" xfId="0" applyNumberFormat="1" applyFont="1" applyBorder="1" applyAlignment="1" applyProtection="1">
      <alignment horizontal="center"/>
      <protection locked="0"/>
    </xf>
    <xf numFmtId="3" fontId="33" fillId="14" borderId="2" xfId="3" applyNumberFormat="1" applyFont="1" applyFill="1" applyBorder="1" applyAlignment="1" applyProtection="1"/>
    <xf numFmtId="3" fontId="33" fillId="14" borderId="1" xfId="0" applyNumberFormat="1" applyFont="1" applyFill="1" applyBorder="1" applyAlignment="1">
      <alignment horizontal="center"/>
    </xf>
    <xf numFmtId="164" fontId="33" fillId="14" borderId="1" xfId="0" applyNumberFormat="1" applyFont="1" applyFill="1" applyBorder="1"/>
    <xf numFmtId="0" fontId="5" fillId="0" borderId="0" xfId="0" applyFont="1" applyAlignment="1">
      <alignment wrapText="1"/>
    </xf>
    <xf numFmtId="0" fontId="33" fillId="0" borderId="0" xfId="0" applyFont="1" applyAlignment="1">
      <alignment horizontal="left" vertical="center"/>
    </xf>
    <xf numFmtId="0" fontId="35" fillId="0" borderId="7" xfId="0" applyFont="1" applyBorder="1" applyAlignment="1" applyProtection="1">
      <alignment horizontal="right"/>
      <protection locked="0"/>
    </xf>
    <xf numFmtId="0" fontId="30" fillId="0" borderId="7" xfId="0" applyFont="1" applyBorder="1" applyProtection="1">
      <protection locked="0"/>
    </xf>
    <xf numFmtId="0" fontId="30" fillId="0" borderId="0" xfId="0" applyFont="1" applyProtection="1">
      <protection locked="0"/>
    </xf>
    <xf numFmtId="0" fontId="41" fillId="0" borderId="0" xfId="0" applyFont="1" applyAlignment="1" applyProtection="1">
      <alignment horizontal="right"/>
      <protection locked="0"/>
    </xf>
    <xf numFmtId="164" fontId="30" fillId="0" borderId="0" xfId="0" applyNumberFormat="1" applyFont="1" applyAlignment="1">
      <alignment horizontal="right"/>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42" fillId="0" borderId="0" xfId="0" applyFont="1" applyProtection="1">
      <protection locked="0"/>
    </xf>
    <xf numFmtId="0" fontId="33" fillId="0" borderId="0" xfId="0" applyFont="1" applyProtection="1">
      <protection locked="0"/>
    </xf>
    <xf numFmtId="167" fontId="33" fillId="0" borderId="0" xfId="0" applyNumberFormat="1" applyFont="1" applyAlignment="1" applyProtection="1">
      <alignment horizontal="center"/>
      <protection locked="0"/>
    </xf>
    <xf numFmtId="0" fontId="33" fillId="0" borderId="0" xfId="0" applyFont="1" applyAlignment="1" applyProtection="1">
      <alignment horizontal="left" vertical="center"/>
      <protection locked="0"/>
    </xf>
    <xf numFmtId="0" fontId="30" fillId="0" borderId="0" xfId="0" applyFont="1" applyAlignment="1" applyProtection="1">
      <alignment vertical="top"/>
      <protection locked="0"/>
    </xf>
    <xf numFmtId="0" fontId="34" fillId="0" borderId="0" xfId="0" applyFont="1" applyAlignment="1" applyProtection="1">
      <alignment horizontal="left" wrapText="1"/>
      <protection locked="0"/>
    </xf>
    <xf numFmtId="0" fontId="33" fillId="0" borderId="0" xfId="0" applyFont="1" applyAlignment="1" applyProtection="1">
      <alignment horizontal="center"/>
      <protection locked="0"/>
    </xf>
    <xf numFmtId="0" fontId="34" fillId="0" borderId="0" xfId="0" applyFont="1" applyAlignment="1">
      <alignment vertical="center"/>
    </xf>
    <xf numFmtId="6" fontId="33" fillId="0" borderId="0" xfId="0" applyNumberFormat="1" applyFont="1" applyAlignment="1" applyProtection="1">
      <alignment horizontal="left"/>
      <protection locked="0"/>
    </xf>
    <xf numFmtId="0" fontId="33" fillId="0" borderId="7" xfId="0" applyFont="1" applyBorder="1" applyAlignment="1" applyProtection="1">
      <alignment horizontal="center"/>
      <protection locked="0"/>
    </xf>
    <xf numFmtId="0" fontId="43" fillId="0" borderId="0" xfId="0" applyFont="1" applyAlignment="1" applyProtection="1">
      <alignment horizontal="center"/>
      <protection locked="0"/>
    </xf>
    <xf numFmtId="0" fontId="44" fillId="0" borderId="7" xfId="0" applyFont="1" applyBorder="1" applyProtection="1">
      <protection locked="0"/>
    </xf>
    <xf numFmtId="0" fontId="44" fillId="0" borderId="0" xfId="0" applyFont="1" applyProtection="1">
      <protection locked="0"/>
    </xf>
    <xf numFmtId="6" fontId="33" fillId="0" borderId="0" xfId="0" applyNumberFormat="1" applyFont="1" applyAlignment="1" applyProtection="1">
      <alignment horizontal="right"/>
      <protection locked="0"/>
    </xf>
    <xf numFmtId="164" fontId="33" fillId="0" borderId="0" xfId="0" applyNumberFormat="1" applyFont="1" applyAlignment="1" applyProtection="1">
      <alignment horizontal="right"/>
      <protection locked="0"/>
    </xf>
    <xf numFmtId="0" fontId="33" fillId="0" borderId="0" xfId="0" applyFont="1" applyAlignment="1">
      <alignment horizontal="right"/>
    </xf>
    <xf numFmtId="10" fontId="33" fillId="0" borderId="0" xfId="6" applyNumberFormat="1" applyFont="1" applyBorder="1" applyAlignment="1" applyProtection="1">
      <alignment horizontal="center"/>
      <protection locked="0"/>
    </xf>
    <xf numFmtId="0" fontId="34" fillId="0" borderId="0" xfId="0" applyFont="1" applyProtection="1">
      <protection locked="0"/>
    </xf>
    <xf numFmtId="9" fontId="33" fillId="14" borderId="1" xfId="6" applyFont="1" applyFill="1" applyBorder="1" applyAlignment="1" applyProtection="1">
      <alignment horizontal="center"/>
    </xf>
    <xf numFmtId="0" fontId="34" fillId="0" borderId="0" xfId="0" applyFont="1" applyAlignment="1" applyProtection="1">
      <alignment horizontal="right"/>
      <protection locked="0"/>
    </xf>
    <xf numFmtId="6" fontId="33" fillId="0" borderId="0" xfId="0" applyNumberFormat="1" applyFont="1" applyProtection="1">
      <protection locked="0"/>
    </xf>
    <xf numFmtId="6" fontId="33" fillId="0" borderId="0" xfId="0" applyNumberFormat="1" applyFont="1" applyAlignment="1">
      <alignment horizontal="center"/>
    </xf>
    <xf numFmtId="6" fontId="34" fillId="0" borderId="9" xfId="0" applyNumberFormat="1" applyFont="1" applyBorder="1"/>
    <xf numFmtId="6" fontId="34" fillId="0" borderId="10" xfId="0" applyNumberFormat="1" applyFont="1" applyBorder="1"/>
    <xf numFmtId="0" fontId="30" fillId="0" borderId="14" xfId="0" applyFont="1" applyBorder="1" applyProtection="1">
      <protection locked="0"/>
    </xf>
    <xf numFmtId="0" fontId="30" fillId="0" borderId="5" xfId="0" applyFont="1" applyBorder="1" applyProtection="1">
      <protection locked="0"/>
    </xf>
    <xf numFmtId="6" fontId="34" fillId="0" borderId="7" xfId="0" applyNumberFormat="1" applyFont="1" applyBorder="1" applyAlignment="1" applyProtection="1">
      <alignment horizontal="center"/>
      <protection locked="0"/>
    </xf>
    <xf numFmtId="6" fontId="34" fillId="0" borderId="0" xfId="0" applyNumberFormat="1" applyFont="1" applyAlignment="1" applyProtection="1">
      <alignment horizontal="center"/>
      <protection locked="0"/>
    </xf>
    <xf numFmtId="0" fontId="33" fillId="0" borderId="0" xfId="0" applyFont="1" applyAlignment="1" applyProtection="1">
      <alignment horizontal="right"/>
      <protection locked="0"/>
    </xf>
    <xf numFmtId="0" fontId="30" fillId="0" borderId="9" xfId="0" applyFont="1" applyBorder="1" applyProtection="1">
      <protection locked="0"/>
    </xf>
    <xf numFmtId="164" fontId="33" fillId="0" borderId="0" xfId="0" applyNumberFormat="1" applyFont="1" applyAlignment="1">
      <alignment horizontal="right"/>
    </xf>
    <xf numFmtId="0" fontId="20" fillId="14" borderId="1" xfId="0" applyFont="1" applyFill="1" applyBorder="1" applyAlignment="1" applyProtection="1">
      <alignment horizontal="left" vertical="center"/>
      <protection hidden="1"/>
    </xf>
    <xf numFmtId="0" fontId="20" fillId="14" borderId="1" xfId="0" applyFont="1" applyFill="1" applyBorder="1" applyAlignment="1" applyProtection="1">
      <alignment vertical="center"/>
      <protection hidden="1"/>
    </xf>
    <xf numFmtId="0" fontId="7" fillId="5" borderId="0" xfId="0" applyFont="1" applyFill="1" applyAlignment="1" applyProtection="1">
      <alignment horizontal="center" vertical="center"/>
      <protection hidden="1"/>
    </xf>
    <xf numFmtId="9" fontId="33" fillId="18" borderId="1" xfId="2" applyFont="1" applyFill="1" applyBorder="1" applyAlignment="1" applyProtection="1">
      <alignment horizontal="center"/>
      <protection locked="0"/>
    </xf>
    <xf numFmtId="164" fontId="10" fillId="18" borderId="13" xfId="2" applyNumberFormat="1" applyFont="1" applyFill="1" applyBorder="1" applyAlignment="1" applyProtection="1">
      <alignment horizontal="center"/>
      <protection locked="0"/>
    </xf>
    <xf numFmtId="1" fontId="30" fillId="0" borderId="4" xfId="0" applyNumberFormat="1" applyFont="1" applyBorder="1" applyAlignment="1" applyProtection="1">
      <alignment horizontal="center" vertical="center"/>
      <protection locked="0"/>
    </xf>
    <xf numFmtId="0" fontId="15" fillId="0" borderId="0" xfId="0" applyFont="1" applyAlignment="1" applyProtection="1">
      <alignment horizontal="right"/>
      <protection locked="0"/>
    </xf>
    <xf numFmtId="164" fontId="30" fillId="0" borderId="1" xfId="2" applyNumberFormat="1" applyFont="1" applyFill="1" applyBorder="1" applyAlignment="1" applyProtection="1">
      <alignment horizontal="right"/>
      <protection locked="0"/>
    </xf>
    <xf numFmtId="49" fontId="10" fillId="18" borderId="1" xfId="2" applyNumberFormat="1" applyFont="1" applyFill="1" applyBorder="1" applyAlignment="1" applyProtection="1">
      <alignment horizontal="center"/>
      <protection locked="0"/>
    </xf>
    <xf numFmtId="164" fontId="30" fillId="0" borderId="9" xfId="2" applyNumberFormat="1" applyFont="1" applyFill="1" applyBorder="1" applyAlignment="1" applyProtection="1">
      <alignment horizontal="right"/>
      <protection locked="0"/>
    </xf>
    <xf numFmtId="6" fontId="33" fillId="0" borderId="7" xfId="0" applyNumberFormat="1" applyFont="1" applyBorder="1" applyAlignment="1">
      <alignment horizontal="left"/>
    </xf>
    <xf numFmtId="9" fontId="33" fillId="14" borderId="11" xfId="2" applyFont="1" applyFill="1" applyBorder="1" applyAlignment="1" applyProtection="1">
      <alignment horizontal="right"/>
    </xf>
    <xf numFmtId="9" fontId="33" fillId="14" borderId="9" xfId="2" applyFont="1" applyFill="1" applyBorder="1" applyAlignment="1" applyProtection="1">
      <alignment horizontal="right"/>
    </xf>
    <xf numFmtId="167" fontId="10" fillId="14" borderId="21" xfId="2" applyNumberFormat="1" applyFont="1" applyFill="1" applyBorder="1" applyAlignment="1" applyProtection="1">
      <alignment horizontal="center"/>
      <protection locked="0"/>
    </xf>
    <xf numFmtId="0" fontId="30"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5" fillId="0" borderId="0" xfId="0" applyFont="1" applyAlignment="1">
      <alignment horizontal="left" vertical="top"/>
    </xf>
    <xf numFmtId="0" fontId="34" fillId="0" borderId="0" xfId="0" applyFont="1" applyAlignment="1">
      <alignment horizontal="right"/>
    </xf>
    <xf numFmtId="0" fontId="30" fillId="0" borderId="0" xfId="0" applyFont="1"/>
    <xf numFmtId="0" fontId="33" fillId="0" borderId="0" xfId="0" applyFont="1" applyAlignment="1" applyProtection="1">
      <alignment horizontal="left"/>
      <protection locked="0"/>
    </xf>
    <xf numFmtId="0" fontId="33" fillId="0" borderId="7" xfId="0" applyFont="1" applyBorder="1" applyAlignment="1" applyProtection="1">
      <alignment horizontal="left"/>
      <protection locked="0"/>
    </xf>
    <xf numFmtId="0" fontId="7" fillId="0" borderId="7" xfId="0" applyFont="1" applyBorder="1" applyProtection="1">
      <protection locked="0"/>
    </xf>
    <xf numFmtId="0" fontId="33" fillId="0" borderId="7" xfId="0" applyFont="1" applyBorder="1" applyAlignment="1" applyProtection="1">
      <alignment wrapText="1"/>
      <protection locked="0"/>
    </xf>
    <xf numFmtId="0" fontId="33" fillId="0" borderId="0" xfId="0" applyFont="1" applyAlignment="1" applyProtection="1">
      <alignment horizontal="right" wrapText="1"/>
      <protection locked="0"/>
    </xf>
    <xf numFmtId="0" fontId="33" fillId="0" borderId="0" xfId="0" applyFont="1"/>
    <xf numFmtId="0" fontId="7" fillId="0" borderId="9" xfId="0" applyFont="1" applyBorder="1" applyProtection="1">
      <protection locked="0"/>
    </xf>
    <xf numFmtId="0" fontId="30" fillId="0" borderId="10" xfId="0" applyFont="1" applyBorder="1" applyProtection="1">
      <protection locked="0"/>
    </xf>
    <xf numFmtId="164" fontId="33" fillId="0" borderId="10" xfId="0" applyNumberFormat="1" applyFont="1" applyBorder="1"/>
    <xf numFmtId="0" fontId="30" fillId="0" borderId="10" xfId="0" applyFont="1" applyBorder="1"/>
    <xf numFmtId="9" fontId="33" fillId="14" borderId="23" xfId="0" applyNumberFormat="1" applyFont="1" applyFill="1" applyBorder="1" applyAlignment="1">
      <alignment horizontal="center"/>
    </xf>
    <xf numFmtId="2" fontId="30" fillId="14" borderId="7" xfId="0" applyNumberFormat="1" applyFont="1" applyFill="1" applyBorder="1" applyAlignment="1">
      <alignment horizontal="center"/>
    </xf>
    <xf numFmtId="2" fontId="30" fillId="14" borderId="23" xfId="0" applyNumberFormat="1" applyFont="1" applyFill="1" applyBorder="1" applyAlignment="1">
      <alignment horizontal="center"/>
    </xf>
    <xf numFmtId="9" fontId="33" fillId="14" borderId="13" xfId="0" applyNumberFormat="1" applyFont="1" applyFill="1" applyBorder="1" applyAlignment="1">
      <alignment horizontal="center"/>
    </xf>
    <xf numFmtId="2" fontId="30" fillId="14" borderId="9" xfId="0" applyNumberFormat="1" applyFont="1" applyFill="1" applyBorder="1" applyAlignment="1">
      <alignment horizontal="center"/>
    </xf>
    <xf numFmtId="2" fontId="30" fillId="14" borderId="13" xfId="0" applyNumberFormat="1" applyFont="1" applyFill="1" applyBorder="1" applyAlignment="1">
      <alignment horizontal="center"/>
    </xf>
    <xf numFmtId="0" fontId="2" fillId="0" borderId="7" xfId="0" applyFont="1" applyBorder="1" applyProtection="1">
      <protection locked="0"/>
    </xf>
    <xf numFmtId="0" fontId="33" fillId="0" borderId="0" xfId="0" applyFont="1" applyAlignment="1">
      <alignment horizontal="center"/>
    </xf>
    <xf numFmtId="9" fontId="33" fillId="0" borderId="0" xfId="2" applyFont="1" applyBorder="1"/>
    <xf numFmtId="0" fontId="33" fillId="18" borderId="11" xfId="0" applyFont="1" applyFill="1" applyBorder="1" applyAlignment="1" applyProtection="1">
      <alignment horizontal="center"/>
      <protection locked="0"/>
    </xf>
    <xf numFmtId="172" fontId="33" fillId="18" borderId="4" xfId="0" applyNumberFormat="1" applyFont="1" applyFill="1" applyBorder="1" applyAlignment="1" applyProtection="1">
      <alignment horizontal="center"/>
      <protection locked="0"/>
    </xf>
    <xf numFmtId="167" fontId="33" fillId="18" borderId="11" xfId="0" applyNumberFormat="1" applyFont="1" applyFill="1" applyBorder="1" applyAlignment="1" applyProtection="1">
      <alignment horizontal="center"/>
      <protection locked="0"/>
    </xf>
    <xf numFmtId="0" fontId="33" fillId="0" borderId="8" xfId="0" applyFont="1" applyBorder="1" applyAlignment="1" applyProtection="1">
      <alignment horizontal="left"/>
      <protection locked="0"/>
    </xf>
    <xf numFmtId="0" fontId="34" fillId="0" borderId="0" xfId="0" applyFont="1" applyAlignment="1" applyProtection="1">
      <alignment horizontal="center"/>
      <protection locked="0"/>
    </xf>
    <xf numFmtId="0" fontId="33" fillId="0" borderId="3" xfId="9" applyFont="1" applyBorder="1" applyProtection="1">
      <protection locked="0"/>
    </xf>
    <xf numFmtId="0" fontId="33" fillId="0" borderId="1" xfId="9" applyFont="1" applyBorder="1" applyAlignment="1">
      <alignment horizontal="center"/>
    </xf>
    <xf numFmtId="0" fontId="30" fillId="0" borderId="1" xfId="9" applyFont="1" applyBorder="1" applyAlignment="1">
      <alignment horizontal="center"/>
    </xf>
    <xf numFmtId="0" fontId="33" fillId="0" borderId="4" xfId="9" applyFont="1" applyBorder="1" applyAlignment="1">
      <alignment horizontal="right"/>
    </xf>
    <xf numFmtId="0" fontId="25" fillId="0" borderId="0" xfId="0" applyFont="1" applyAlignment="1" applyProtection="1">
      <alignment horizontal="left" vertical="center" wrapText="1"/>
      <protection hidden="1"/>
    </xf>
    <xf numFmtId="164" fontId="19" fillId="4" borderId="24" xfId="0" applyNumberFormat="1" applyFont="1" applyFill="1" applyBorder="1" applyAlignment="1" applyProtection="1">
      <alignment horizontal="right"/>
      <protection hidden="1"/>
    </xf>
    <xf numFmtId="164" fontId="19" fillId="11" borderId="24" xfId="0" applyNumberFormat="1" applyFont="1" applyFill="1" applyBorder="1" applyAlignment="1" applyProtection="1">
      <alignment horizontal="right"/>
      <protection hidden="1"/>
    </xf>
    <xf numFmtId="164" fontId="19" fillId="9" borderId="24" xfId="0" applyNumberFormat="1" applyFont="1" applyFill="1" applyBorder="1" applyAlignment="1" applyProtection="1">
      <alignment horizontal="right"/>
      <protection hidden="1"/>
    </xf>
    <xf numFmtId="167" fontId="19" fillId="14" borderId="24" xfId="0" applyNumberFormat="1" applyFont="1" applyFill="1" applyBorder="1" applyAlignment="1" applyProtection="1">
      <alignment horizontal="center"/>
      <protection hidden="1"/>
    </xf>
    <xf numFmtId="164" fontId="19" fillId="14" borderId="24" xfId="0" applyNumberFormat="1" applyFont="1" applyFill="1" applyBorder="1" applyAlignment="1" applyProtection="1">
      <alignment horizontal="right"/>
      <protection hidden="1"/>
    </xf>
    <xf numFmtId="0" fontId="18" fillId="20" borderId="1" xfId="0" applyFont="1" applyFill="1" applyBorder="1" applyAlignment="1" applyProtection="1">
      <alignment horizontal="center"/>
      <protection hidden="1"/>
    </xf>
    <xf numFmtId="164" fontId="18" fillId="20" borderId="1" xfId="0" applyNumberFormat="1" applyFont="1" applyFill="1" applyBorder="1" applyAlignment="1" applyProtection="1">
      <alignment horizontal="center"/>
      <protection hidden="1"/>
    </xf>
    <xf numFmtId="167" fontId="7" fillId="20" borderId="21" xfId="0" applyNumberFormat="1" applyFont="1" applyFill="1" applyBorder="1" applyProtection="1">
      <protection hidden="1"/>
    </xf>
    <xf numFmtId="164" fontId="7" fillId="20" borderId="21" xfId="0" applyNumberFormat="1" applyFont="1" applyFill="1" applyBorder="1" applyAlignment="1" applyProtection="1">
      <alignment horizontal="right"/>
      <protection hidden="1"/>
    </xf>
    <xf numFmtId="167" fontId="7" fillId="20" borderId="23" xfId="0" applyNumberFormat="1" applyFont="1" applyFill="1" applyBorder="1" applyProtection="1">
      <protection hidden="1"/>
    </xf>
    <xf numFmtId="164" fontId="7" fillId="20" borderId="23" xfId="0" applyNumberFormat="1" applyFont="1" applyFill="1" applyBorder="1" applyAlignment="1" applyProtection="1">
      <alignment horizontal="right"/>
      <protection hidden="1"/>
    </xf>
    <xf numFmtId="167" fontId="19" fillId="20" borderId="23" xfId="2" applyNumberFormat="1" applyFont="1" applyFill="1" applyBorder="1" applyAlignment="1" applyProtection="1">
      <alignment horizontal="right"/>
      <protection hidden="1"/>
    </xf>
    <xf numFmtId="164" fontId="19" fillId="20" borderId="23" xfId="0" applyNumberFormat="1" applyFont="1" applyFill="1" applyBorder="1" applyAlignment="1" applyProtection="1">
      <alignment horizontal="right"/>
      <protection hidden="1"/>
    </xf>
    <xf numFmtId="167" fontId="19" fillId="20" borderId="23" xfId="2" applyNumberFormat="1" applyFont="1" applyFill="1" applyBorder="1" applyAlignment="1" applyProtection="1">
      <protection hidden="1"/>
    </xf>
    <xf numFmtId="164" fontId="19" fillId="20" borderId="23" xfId="0" applyNumberFormat="1" applyFont="1" applyFill="1" applyBorder="1" applyProtection="1">
      <protection hidden="1"/>
    </xf>
    <xf numFmtId="167" fontId="19" fillId="20" borderId="24" xfId="2" applyNumberFormat="1" applyFont="1" applyFill="1" applyBorder="1" applyAlignment="1" applyProtection="1">
      <protection hidden="1"/>
    </xf>
    <xf numFmtId="164" fontId="19" fillId="20" borderId="24" xfId="0" applyNumberFormat="1" applyFont="1" applyFill="1" applyBorder="1" applyProtection="1">
      <protection hidden="1"/>
    </xf>
    <xf numFmtId="167" fontId="19" fillId="20" borderId="24" xfId="0" applyNumberFormat="1" applyFont="1" applyFill="1" applyBorder="1" applyAlignment="1" applyProtection="1">
      <alignment horizontal="center"/>
      <protection hidden="1"/>
    </xf>
    <xf numFmtId="164" fontId="19" fillId="20" borderId="24" xfId="0" applyNumberFormat="1" applyFont="1" applyFill="1" applyBorder="1" applyAlignment="1" applyProtection="1">
      <alignment horizontal="right"/>
      <protection hidden="1"/>
    </xf>
    <xf numFmtId="167" fontId="32" fillId="0" borderId="0" xfId="0" applyNumberFormat="1" applyFont="1" applyProtection="1">
      <protection hidden="1"/>
    </xf>
    <xf numFmtId="0" fontId="51" fillId="8" borderId="1" xfId="0" applyFont="1" applyFill="1" applyBorder="1" applyAlignment="1" applyProtection="1">
      <alignment horizontal="center"/>
      <protection hidden="1"/>
    </xf>
    <xf numFmtId="0" fontId="51" fillId="8" borderId="1" xfId="0" applyFont="1" applyFill="1" applyBorder="1" applyAlignment="1" applyProtection="1">
      <alignment horizontal="center" wrapText="1"/>
      <protection hidden="1"/>
    </xf>
    <xf numFmtId="164" fontId="51" fillId="8" borderId="1" xfId="0" applyNumberFormat="1" applyFont="1" applyFill="1" applyBorder="1" applyAlignment="1" applyProtection="1">
      <alignment horizontal="center"/>
      <protection hidden="1"/>
    </xf>
    <xf numFmtId="167" fontId="52" fillId="19" borderId="21" xfId="0" applyNumberFormat="1" applyFont="1" applyFill="1" applyBorder="1" applyProtection="1">
      <protection hidden="1"/>
    </xf>
    <xf numFmtId="167" fontId="52" fillId="19" borderId="21" xfId="0" applyNumberFormat="1" applyFont="1" applyFill="1" applyBorder="1" applyAlignment="1" applyProtection="1">
      <alignment horizontal="center"/>
      <protection hidden="1"/>
    </xf>
    <xf numFmtId="164" fontId="52" fillId="19" borderId="21" xfId="0" applyNumberFormat="1" applyFont="1" applyFill="1" applyBorder="1" applyProtection="1">
      <protection hidden="1"/>
    </xf>
    <xf numFmtId="167" fontId="52" fillId="8" borderId="23" xfId="0" applyNumberFormat="1" applyFont="1" applyFill="1" applyBorder="1" applyProtection="1">
      <protection hidden="1"/>
    </xf>
    <xf numFmtId="167" fontId="52" fillId="8" borderId="23" xfId="0" applyNumberFormat="1" applyFont="1" applyFill="1" applyBorder="1" applyAlignment="1" applyProtection="1">
      <alignment horizontal="center"/>
      <protection hidden="1"/>
    </xf>
    <xf numFmtId="164" fontId="52" fillId="8" borderId="23" xfId="0" applyNumberFormat="1" applyFont="1" applyFill="1" applyBorder="1" applyProtection="1">
      <protection hidden="1"/>
    </xf>
    <xf numFmtId="164" fontId="52" fillId="8" borderId="23" xfId="0" applyNumberFormat="1" applyFont="1" applyFill="1" applyBorder="1" applyAlignment="1" applyProtection="1">
      <alignment horizontal="right"/>
      <protection hidden="1"/>
    </xf>
    <xf numFmtId="167" fontId="53" fillId="8" borderId="23" xfId="0" applyNumberFormat="1" applyFont="1" applyFill="1" applyBorder="1" applyProtection="1">
      <protection hidden="1"/>
    </xf>
    <xf numFmtId="167" fontId="53" fillId="8" borderId="23" xfId="0" applyNumberFormat="1" applyFont="1" applyFill="1" applyBorder="1" applyAlignment="1" applyProtection="1">
      <alignment horizontal="center"/>
      <protection hidden="1"/>
    </xf>
    <xf numFmtId="164" fontId="53" fillId="8" borderId="23" xfId="0" applyNumberFormat="1" applyFont="1" applyFill="1" applyBorder="1" applyProtection="1">
      <protection hidden="1"/>
    </xf>
    <xf numFmtId="167" fontId="53" fillId="8" borderId="24" xfId="0" applyNumberFormat="1" applyFont="1" applyFill="1" applyBorder="1" applyProtection="1">
      <protection hidden="1"/>
    </xf>
    <xf numFmtId="167" fontId="53" fillId="8" borderId="24" xfId="0" applyNumberFormat="1" applyFont="1" applyFill="1" applyBorder="1" applyAlignment="1" applyProtection="1">
      <alignment horizontal="center"/>
      <protection hidden="1"/>
    </xf>
    <xf numFmtId="164" fontId="53" fillId="8" borderId="24" xfId="0" applyNumberFormat="1" applyFont="1" applyFill="1" applyBorder="1" applyProtection="1">
      <protection hidden="1"/>
    </xf>
    <xf numFmtId="164" fontId="53" fillId="8" borderId="24" xfId="0" applyNumberFormat="1" applyFont="1" applyFill="1" applyBorder="1" applyAlignment="1" applyProtection="1">
      <alignment horizontal="center"/>
      <protection hidden="1"/>
    </xf>
    <xf numFmtId="164" fontId="32" fillId="0" borderId="0" xfId="0" applyNumberFormat="1" applyFont="1" applyProtection="1">
      <protection hidden="1"/>
    </xf>
    <xf numFmtId="166" fontId="32" fillId="0" borderId="0" xfId="0" applyNumberFormat="1" applyFont="1" applyAlignment="1" applyProtection="1">
      <alignment horizontal="left"/>
      <protection hidden="1"/>
    </xf>
    <xf numFmtId="167" fontId="19" fillId="0" borderId="0" xfId="0" applyNumberFormat="1" applyFont="1" applyAlignment="1" applyProtection="1">
      <alignment horizontal="center"/>
      <protection hidden="1"/>
    </xf>
    <xf numFmtId="167" fontId="53" fillId="0" borderId="0" xfId="0" applyNumberFormat="1" applyFont="1" applyAlignment="1" applyProtection="1">
      <alignment horizontal="center"/>
      <protection hidden="1"/>
    </xf>
    <xf numFmtId="164" fontId="53" fillId="0" borderId="0" xfId="0" applyNumberFormat="1" applyFont="1" applyAlignment="1" applyProtection="1">
      <alignment horizontal="center"/>
      <protection hidden="1"/>
    </xf>
    <xf numFmtId="0" fontId="20" fillId="0" borderId="0" xfId="0" applyFont="1" applyAlignment="1" applyProtection="1">
      <alignment horizontal="left"/>
      <protection hidden="1"/>
    </xf>
    <xf numFmtId="0" fontId="54" fillId="0" borderId="0" xfId="0" applyFont="1" applyProtection="1">
      <protection hidden="1"/>
    </xf>
    <xf numFmtId="0" fontId="32" fillId="0" borderId="0" xfId="0" applyFont="1" applyAlignment="1" applyProtection="1">
      <alignment horizontal="left"/>
      <protection hidden="1"/>
    </xf>
    <xf numFmtId="0" fontId="54" fillId="0" borderId="0" xfId="0" applyFont="1" applyAlignment="1" applyProtection="1">
      <alignment horizontal="right"/>
      <protection hidden="1"/>
    </xf>
    <xf numFmtId="0" fontId="55" fillId="6" borderId="1" xfId="0" applyFont="1" applyFill="1" applyBorder="1" applyAlignment="1" applyProtection="1">
      <alignment horizontal="center"/>
      <protection hidden="1"/>
    </xf>
    <xf numFmtId="0" fontId="55" fillId="9" borderId="1" xfId="0" applyFont="1" applyFill="1" applyBorder="1" applyAlignment="1" applyProtection="1">
      <alignment horizontal="center"/>
      <protection hidden="1"/>
    </xf>
    <xf numFmtId="0" fontId="55" fillId="14" borderId="1" xfId="0" applyFont="1" applyFill="1" applyBorder="1" applyAlignment="1" applyProtection="1">
      <alignment horizontal="center"/>
      <protection hidden="1"/>
    </xf>
    <xf numFmtId="166" fontId="52" fillId="6" borderId="23" xfId="0" applyNumberFormat="1" applyFont="1" applyFill="1" applyBorder="1" applyAlignment="1" applyProtection="1">
      <alignment horizontal="center"/>
      <protection hidden="1"/>
    </xf>
    <xf numFmtId="164" fontId="52" fillId="6" borderId="23" xfId="0" applyNumberFormat="1" applyFont="1" applyFill="1" applyBorder="1" applyProtection="1">
      <protection hidden="1"/>
    </xf>
    <xf numFmtId="167" fontId="52" fillId="9" borderId="21" xfId="0" applyNumberFormat="1" applyFont="1" applyFill="1" applyBorder="1" applyAlignment="1" applyProtection="1">
      <alignment horizontal="center"/>
      <protection hidden="1"/>
    </xf>
    <xf numFmtId="164" fontId="52" fillId="9" borderId="21" xfId="0" applyNumberFormat="1" applyFont="1" applyFill="1" applyBorder="1" applyProtection="1">
      <protection hidden="1"/>
    </xf>
    <xf numFmtId="167" fontId="52" fillId="14" borderId="21" xfId="0" applyNumberFormat="1" applyFont="1" applyFill="1" applyBorder="1" applyAlignment="1" applyProtection="1">
      <alignment horizontal="center"/>
      <protection hidden="1"/>
    </xf>
    <xf numFmtId="164" fontId="52" fillId="14" borderId="21" xfId="0" applyNumberFormat="1" applyFont="1" applyFill="1" applyBorder="1" applyProtection="1">
      <protection hidden="1"/>
    </xf>
    <xf numFmtId="164" fontId="52" fillId="8" borderId="21" xfId="0" applyNumberFormat="1" applyFont="1" applyFill="1" applyBorder="1" applyProtection="1">
      <protection hidden="1"/>
    </xf>
    <xf numFmtId="167" fontId="52" fillId="9" borderId="23" xfId="0" applyNumberFormat="1" applyFont="1" applyFill="1" applyBorder="1" applyAlignment="1" applyProtection="1">
      <alignment horizontal="center"/>
      <protection hidden="1"/>
    </xf>
    <xf numFmtId="164" fontId="52" fillId="9" borderId="23" xfId="0" applyNumberFormat="1" applyFont="1" applyFill="1" applyBorder="1" applyProtection="1">
      <protection hidden="1"/>
    </xf>
    <xf numFmtId="167" fontId="52" fillId="14" borderId="23" xfId="0" applyNumberFormat="1" applyFont="1" applyFill="1" applyBorder="1" applyAlignment="1" applyProtection="1">
      <alignment horizontal="center"/>
      <protection hidden="1"/>
    </xf>
    <xf numFmtId="164" fontId="52" fillId="14" borderId="23" xfId="0" applyNumberFormat="1" applyFont="1" applyFill="1" applyBorder="1" applyProtection="1">
      <protection hidden="1"/>
    </xf>
    <xf numFmtId="164" fontId="56" fillId="8" borderId="23" xfId="0" applyNumberFormat="1" applyFont="1" applyFill="1" applyBorder="1" applyProtection="1">
      <protection hidden="1"/>
    </xf>
    <xf numFmtId="166" fontId="52" fillId="6" borderId="24" xfId="0" applyNumberFormat="1" applyFont="1" applyFill="1" applyBorder="1" applyAlignment="1" applyProtection="1">
      <alignment horizontal="center"/>
      <protection hidden="1"/>
    </xf>
    <xf numFmtId="164" fontId="52" fillId="6" borderId="24" xfId="0" applyNumberFormat="1" applyFont="1" applyFill="1" applyBorder="1" applyProtection="1">
      <protection hidden="1"/>
    </xf>
    <xf numFmtId="167" fontId="52" fillId="9" borderId="24" xfId="0" applyNumberFormat="1" applyFont="1" applyFill="1" applyBorder="1" applyAlignment="1" applyProtection="1">
      <alignment horizontal="center"/>
      <protection hidden="1"/>
    </xf>
    <xf numFmtId="164" fontId="52" fillId="9" borderId="24" xfId="0" applyNumberFormat="1" applyFont="1" applyFill="1" applyBorder="1" applyProtection="1">
      <protection hidden="1"/>
    </xf>
    <xf numFmtId="167" fontId="52" fillId="14" borderId="24" xfId="0" applyNumberFormat="1" applyFont="1" applyFill="1" applyBorder="1" applyAlignment="1" applyProtection="1">
      <alignment horizontal="center"/>
      <protection hidden="1"/>
    </xf>
    <xf numFmtId="164" fontId="52" fillId="14" borderId="24" xfId="0" applyNumberFormat="1" applyFont="1" applyFill="1" applyBorder="1" applyProtection="1">
      <protection hidden="1"/>
    </xf>
    <xf numFmtId="164" fontId="56" fillId="8" borderId="24" xfId="0" applyNumberFormat="1" applyFont="1" applyFill="1" applyBorder="1" applyProtection="1">
      <protection hidden="1"/>
    </xf>
    <xf numFmtId="166" fontId="53" fillId="6" borderId="23" xfId="0" applyNumberFormat="1" applyFont="1" applyFill="1" applyBorder="1" applyAlignment="1" applyProtection="1">
      <alignment horizontal="center"/>
      <protection hidden="1"/>
    </xf>
    <xf numFmtId="166" fontId="53" fillId="6" borderId="24" xfId="0" applyNumberFormat="1" applyFont="1" applyFill="1" applyBorder="1" applyAlignment="1" applyProtection="1">
      <alignment horizontal="center"/>
      <protection hidden="1"/>
    </xf>
    <xf numFmtId="167" fontId="53" fillId="9" borderId="24" xfId="0" applyNumberFormat="1" applyFont="1" applyFill="1" applyBorder="1" applyAlignment="1" applyProtection="1">
      <alignment horizontal="center"/>
      <protection hidden="1"/>
    </xf>
    <xf numFmtId="164" fontId="53" fillId="9" borderId="24" xfId="0" applyNumberFormat="1" applyFont="1" applyFill="1" applyBorder="1" applyAlignment="1" applyProtection="1">
      <alignment horizontal="right"/>
      <protection hidden="1"/>
    </xf>
    <xf numFmtId="167" fontId="53" fillId="14" borderId="24" xfId="0" applyNumberFormat="1" applyFont="1" applyFill="1" applyBorder="1" applyAlignment="1" applyProtection="1">
      <alignment horizontal="center"/>
      <protection hidden="1"/>
    </xf>
    <xf numFmtId="164" fontId="53" fillId="14" borderId="24" xfId="0" applyNumberFormat="1" applyFont="1" applyFill="1" applyBorder="1" applyAlignment="1" applyProtection="1">
      <alignment horizontal="right"/>
      <protection hidden="1"/>
    </xf>
    <xf numFmtId="164" fontId="53" fillId="8" borderId="24" xfId="0" applyNumberFormat="1" applyFont="1" applyFill="1" applyBorder="1" applyAlignment="1" applyProtection="1">
      <alignment horizontal="right"/>
      <protection hidden="1"/>
    </xf>
    <xf numFmtId="167" fontId="19" fillId="3" borderId="23" xfId="0" applyNumberFormat="1" applyFont="1" applyFill="1" applyBorder="1" applyAlignment="1" applyProtection="1">
      <alignment horizontal="center"/>
      <protection hidden="1"/>
    </xf>
    <xf numFmtId="167" fontId="19" fillId="7" borderId="23" xfId="0" applyNumberFormat="1" applyFont="1" applyFill="1" applyBorder="1" applyAlignment="1" applyProtection="1">
      <alignment horizontal="center"/>
      <protection hidden="1"/>
    </xf>
    <xf numFmtId="167" fontId="19" fillId="4" borderId="23" xfId="0" applyNumberFormat="1" applyFont="1" applyFill="1" applyBorder="1" applyAlignment="1" applyProtection="1">
      <alignment horizontal="center"/>
      <protection hidden="1"/>
    </xf>
    <xf numFmtId="167" fontId="19" fillId="20" borderId="23" xfId="0" applyNumberFormat="1" applyFont="1" applyFill="1" applyBorder="1" applyAlignment="1" applyProtection="1">
      <alignment horizontal="center"/>
      <protection hidden="1"/>
    </xf>
    <xf numFmtId="164" fontId="53" fillId="8" borderId="23" xfId="0" applyNumberFormat="1" applyFont="1" applyFill="1" applyBorder="1" applyAlignment="1" applyProtection="1">
      <alignment horizontal="center"/>
      <protection hidden="1"/>
    </xf>
    <xf numFmtId="167" fontId="19" fillId="11" borderId="23" xfId="0" applyNumberFormat="1" applyFont="1" applyFill="1" applyBorder="1" applyAlignment="1" applyProtection="1">
      <alignment horizontal="center"/>
      <protection hidden="1"/>
    </xf>
    <xf numFmtId="164" fontId="19" fillId="11" borderId="23" xfId="0" applyNumberFormat="1" applyFont="1" applyFill="1" applyBorder="1" applyAlignment="1" applyProtection="1">
      <alignment horizontal="right"/>
      <protection hidden="1"/>
    </xf>
    <xf numFmtId="167" fontId="19" fillId="9" borderId="23" xfId="0" applyNumberFormat="1" applyFont="1" applyFill="1" applyBorder="1" applyAlignment="1" applyProtection="1">
      <alignment horizontal="center"/>
      <protection hidden="1"/>
    </xf>
    <xf numFmtId="164" fontId="19" fillId="9" borderId="23" xfId="0" applyNumberFormat="1" applyFont="1" applyFill="1" applyBorder="1" applyAlignment="1" applyProtection="1">
      <alignment horizontal="right"/>
      <protection hidden="1"/>
    </xf>
    <xf numFmtId="167" fontId="19" fillId="14" borderId="23" xfId="0" applyNumberFormat="1" applyFont="1" applyFill="1" applyBorder="1" applyAlignment="1" applyProtection="1">
      <alignment horizontal="center"/>
      <protection hidden="1"/>
    </xf>
    <xf numFmtId="164" fontId="19" fillId="14" borderId="23" xfId="0" applyNumberFormat="1" applyFont="1" applyFill="1" applyBorder="1" applyAlignment="1" applyProtection="1">
      <alignment horizontal="right"/>
      <protection hidden="1"/>
    </xf>
    <xf numFmtId="167" fontId="53" fillId="9" borderId="23" xfId="0" applyNumberFormat="1" applyFont="1" applyFill="1" applyBorder="1" applyAlignment="1" applyProtection="1">
      <alignment horizontal="center"/>
      <protection hidden="1"/>
    </xf>
    <xf numFmtId="164" fontId="53" fillId="9" borderId="23" xfId="0" applyNumberFormat="1" applyFont="1" applyFill="1" applyBorder="1" applyAlignment="1" applyProtection="1">
      <alignment horizontal="right"/>
      <protection hidden="1"/>
    </xf>
    <xf numFmtId="167" fontId="53" fillId="14" borderId="23" xfId="0" applyNumberFormat="1" applyFont="1" applyFill="1" applyBorder="1" applyAlignment="1" applyProtection="1">
      <alignment horizontal="center"/>
      <protection hidden="1"/>
    </xf>
    <xf numFmtId="164" fontId="53" fillId="14" borderId="23" xfId="0" applyNumberFormat="1" applyFont="1" applyFill="1" applyBorder="1" applyAlignment="1" applyProtection="1">
      <alignment horizontal="right"/>
      <protection hidden="1"/>
    </xf>
    <xf numFmtId="164" fontId="53" fillId="8" borderId="23" xfId="0" applyNumberFormat="1" applyFont="1" applyFill="1" applyBorder="1" applyAlignment="1" applyProtection="1">
      <alignment horizontal="right"/>
      <protection hidden="1"/>
    </xf>
    <xf numFmtId="0" fontId="32" fillId="0" borderId="22" xfId="0" applyFont="1" applyBorder="1" applyProtection="1">
      <protection hidden="1"/>
    </xf>
    <xf numFmtId="0" fontId="20" fillId="0" borderId="22" xfId="0" applyFont="1" applyBorder="1" applyProtection="1">
      <protection hidden="1"/>
    </xf>
    <xf numFmtId="3" fontId="19" fillId="0" borderId="33" xfId="0" applyNumberFormat="1" applyFont="1" applyBorder="1" applyAlignment="1" applyProtection="1">
      <alignment horizontal="center"/>
      <protection hidden="1"/>
    </xf>
    <xf numFmtId="0" fontId="58" fillId="19" borderId="0" xfId="0" applyFont="1" applyFill="1" applyAlignment="1" applyProtection="1">
      <alignment horizontal="left"/>
      <protection hidden="1"/>
    </xf>
    <xf numFmtId="0" fontId="60" fillId="19" borderId="0" xfId="0" applyFont="1" applyFill="1" applyAlignment="1" applyProtection="1">
      <alignment horizontal="center"/>
      <protection hidden="1"/>
    </xf>
    <xf numFmtId="164" fontId="60" fillId="19" borderId="0" xfId="0" applyNumberFormat="1" applyFont="1" applyFill="1" applyProtection="1">
      <protection hidden="1"/>
    </xf>
    <xf numFmtId="0" fontId="19" fillId="19" borderId="0" xfId="0" applyFont="1" applyFill="1" applyAlignment="1" applyProtection="1">
      <alignment horizontal="center"/>
      <protection hidden="1"/>
    </xf>
    <xf numFmtId="0" fontId="19" fillId="19" borderId="0" xfId="0" applyFont="1" applyFill="1" applyProtection="1">
      <protection hidden="1"/>
    </xf>
    <xf numFmtId="0" fontId="2" fillId="19" borderId="0" xfId="0" applyFont="1" applyFill="1" applyAlignment="1" applyProtection="1">
      <alignment horizontal="center"/>
      <protection hidden="1"/>
    </xf>
    <xf numFmtId="0" fontId="18" fillId="19" borderId="22" xfId="0" applyFont="1" applyFill="1" applyBorder="1" applyAlignment="1" applyProtection="1">
      <alignment horizontal="center"/>
      <protection hidden="1"/>
    </xf>
    <xf numFmtId="0" fontId="30" fillId="0" borderId="4" xfId="0" applyFont="1" applyBorder="1" applyAlignment="1" applyProtection="1">
      <alignment horizontal="center" vertical="center"/>
      <protection locked="0"/>
    </xf>
    <xf numFmtId="164" fontId="33" fillId="14" borderId="9" xfId="0" applyNumberFormat="1" applyFont="1" applyFill="1" applyBorder="1" applyAlignment="1">
      <alignment horizontal="right"/>
    </xf>
    <xf numFmtId="0" fontId="7" fillId="0" borderId="22" xfId="0" applyFont="1" applyBorder="1" applyProtection="1">
      <protection hidden="1"/>
    </xf>
    <xf numFmtId="0" fontId="33" fillId="14" borderId="1" xfId="0" applyFont="1" applyFill="1" applyBorder="1" applyAlignment="1">
      <alignment horizontal="center"/>
    </xf>
    <xf numFmtId="5" fontId="33" fillId="0" borderId="1" xfId="12" applyNumberFormat="1" applyFont="1" applyBorder="1" applyAlignment="1" applyProtection="1">
      <alignment horizontal="center"/>
    </xf>
    <xf numFmtId="49" fontId="33" fillId="0" borderId="1" xfId="0" applyNumberFormat="1" applyFont="1" applyBorder="1" applyAlignment="1">
      <alignment horizontal="center"/>
    </xf>
    <xf numFmtId="167" fontId="33" fillId="0" borderId="1" xfId="2" applyNumberFormat="1" applyFont="1" applyBorder="1" applyAlignment="1" applyProtection="1">
      <alignment horizontal="center"/>
    </xf>
    <xf numFmtId="164" fontId="33" fillId="0" borderId="1" xfId="2" applyNumberFormat="1" applyFont="1" applyBorder="1" applyAlignment="1" applyProtection="1">
      <alignment horizontal="center"/>
    </xf>
    <xf numFmtId="167" fontId="33" fillId="14" borderId="1" xfId="0" applyNumberFormat="1" applyFont="1" applyFill="1" applyBorder="1" applyAlignment="1">
      <alignment horizontal="center"/>
    </xf>
    <xf numFmtId="164" fontId="33" fillId="14" borderId="1" xfId="0" applyNumberFormat="1" applyFont="1" applyFill="1" applyBorder="1" applyAlignment="1">
      <alignment horizontal="center"/>
    </xf>
    <xf numFmtId="166" fontId="33" fillId="0" borderId="1" xfId="2" applyNumberFormat="1" applyFont="1" applyBorder="1" applyAlignment="1" applyProtection="1">
      <alignment horizontal="center"/>
    </xf>
    <xf numFmtId="164" fontId="33" fillId="0" borderId="1" xfId="12" applyNumberFormat="1" applyFont="1" applyBorder="1" applyAlignment="1" applyProtection="1">
      <alignment horizontal="center"/>
    </xf>
    <xf numFmtId="0" fontId="37" fillId="0" borderId="0" xfId="0" applyFont="1" applyAlignment="1">
      <alignment horizontal="center"/>
    </xf>
    <xf numFmtId="0" fontId="36" fillId="0" borderId="0" xfId="0" applyFont="1" applyAlignment="1">
      <alignment horizontal="center"/>
    </xf>
    <xf numFmtId="0" fontId="46" fillId="0" borderId="10" xfId="0" applyFont="1" applyBorder="1" applyAlignment="1">
      <alignment horizontal="center" vertical="center"/>
    </xf>
    <xf numFmtId="0" fontId="33" fillId="0" borderId="1" xfId="0" applyFont="1" applyBorder="1" applyAlignment="1">
      <alignment horizontal="right" vertical="center"/>
    </xf>
    <xf numFmtId="0" fontId="30" fillId="0" borderId="2" xfId="0" applyFont="1" applyBorder="1" applyAlignment="1" applyProtection="1">
      <alignment horizontal="left" vertical="center"/>
      <protection locked="0"/>
    </xf>
    <xf numFmtId="0" fontId="30" fillId="0" borderId="3" xfId="0" applyFont="1" applyBorder="1" applyAlignment="1" applyProtection="1">
      <alignment horizontal="left" vertical="center"/>
      <protection locked="0"/>
    </xf>
    <xf numFmtId="0" fontId="30" fillId="0" borderId="4" xfId="0" applyFont="1" applyBorder="1" applyAlignment="1" applyProtection="1">
      <alignment horizontal="left" vertical="center"/>
      <protection locked="0"/>
    </xf>
    <xf numFmtId="0" fontId="33" fillId="0" borderId="2" xfId="0" applyFont="1" applyBorder="1" applyAlignment="1">
      <alignment horizontal="right" vertical="center"/>
    </xf>
    <xf numFmtId="0" fontId="33" fillId="0" borderId="4" xfId="0" applyFont="1" applyBorder="1" applyAlignment="1">
      <alignment horizontal="right" vertical="center"/>
    </xf>
    <xf numFmtId="1" fontId="30" fillId="0" borderId="2" xfId="0" applyNumberFormat="1" applyFont="1" applyBorder="1" applyAlignment="1" applyProtection="1">
      <alignment horizontal="center" vertical="center"/>
      <protection locked="0"/>
    </xf>
    <xf numFmtId="1" fontId="30" fillId="0" borderId="4" xfId="0" applyNumberFormat="1" applyFont="1" applyBorder="1" applyAlignment="1" applyProtection="1">
      <alignment horizontal="center" vertical="center"/>
      <protection locked="0"/>
    </xf>
    <xf numFmtId="0" fontId="15" fillId="0" borderId="0" xfId="0" applyFont="1" applyAlignment="1">
      <alignment horizontal="left" vertical="center" wrapText="1"/>
    </xf>
    <xf numFmtId="0" fontId="21" fillId="0" borderId="0" xfId="0" applyFont="1" applyAlignment="1" applyProtection="1">
      <alignment horizontal="left" vertical="center" wrapText="1"/>
      <protection locked="0"/>
    </xf>
    <xf numFmtId="168" fontId="33" fillId="0" borderId="1" xfId="0" quotePrefix="1" applyNumberFormat="1" applyFont="1" applyBorder="1" applyAlignment="1">
      <alignment horizontal="right" vertical="center"/>
    </xf>
    <xf numFmtId="165" fontId="30" fillId="0" borderId="2" xfId="0" applyNumberFormat="1" applyFont="1" applyBorder="1" applyAlignment="1" applyProtection="1">
      <alignment horizontal="center" vertical="center"/>
      <protection locked="0"/>
    </xf>
    <xf numFmtId="165" fontId="30" fillId="0" borderId="4" xfId="0" applyNumberFormat="1" applyFont="1" applyBorder="1" applyAlignment="1" applyProtection="1">
      <alignment horizontal="center" vertical="center"/>
      <protection locked="0"/>
    </xf>
    <xf numFmtId="0" fontId="30" fillId="0" borderId="2" xfId="1" applyNumberFormat="1" applyFont="1" applyBorder="1" applyAlignment="1" applyProtection="1">
      <alignment horizontal="center" vertical="center"/>
      <protection locked="0"/>
    </xf>
    <xf numFmtId="0" fontId="30" fillId="0" borderId="3" xfId="1" applyNumberFormat="1" applyFont="1" applyBorder="1" applyAlignment="1" applyProtection="1">
      <alignment horizontal="center" vertical="center"/>
      <protection locked="0"/>
    </xf>
    <xf numFmtId="0" fontId="30" fillId="0" borderId="4" xfId="1" applyNumberFormat="1" applyFont="1" applyBorder="1" applyAlignment="1" applyProtection="1">
      <alignment horizontal="center" vertical="center"/>
      <protection locked="0"/>
    </xf>
    <xf numFmtId="169" fontId="30" fillId="0" borderId="2" xfId="0" applyNumberFormat="1" applyFont="1" applyBorder="1" applyAlignment="1" applyProtection="1">
      <alignment horizontal="center" vertical="center"/>
      <protection locked="0"/>
    </xf>
    <xf numFmtId="169" fontId="30" fillId="0" borderId="4" xfId="0" applyNumberFormat="1" applyFont="1" applyBorder="1" applyAlignment="1" applyProtection="1">
      <alignment horizontal="center" vertical="center"/>
      <protection locked="0"/>
    </xf>
    <xf numFmtId="49" fontId="30" fillId="0" borderId="2" xfId="0" quotePrefix="1" applyNumberFormat="1" applyFont="1" applyBorder="1" applyAlignment="1" applyProtection="1">
      <alignment horizontal="left" vertical="center"/>
      <protection locked="0"/>
    </xf>
    <xf numFmtId="49" fontId="30" fillId="0" borderId="3" xfId="0" quotePrefix="1" applyNumberFormat="1" applyFont="1" applyBorder="1" applyAlignment="1" applyProtection="1">
      <alignment horizontal="left" vertical="center"/>
      <protection locked="0"/>
    </xf>
    <xf numFmtId="49" fontId="30" fillId="0" borderId="4" xfId="0" quotePrefix="1" applyNumberFormat="1" applyFont="1" applyBorder="1" applyAlignment="1" applyProtection="1">
      <alignment horizontal="left" vertical="center"/>
      <protection locked="0"/>
    </xf>
    <xf numFmtId="0" fontId="30" fillId="0" borderId="1" xfId="0" applyFont="1" applyBorder="1" applyAlignment="1" applyProtection="1">
      <alignment horizontal="center" vertical="center"/>
      <protection locked="0"/>
    </xf>
    <xf numFmtId="167" fontId="15" fillId="0" borderId="0" xfId="2" applyNumberFormat="1" applyFont="1" applyBorder="1" applyAlignment="1" applyProtection="1">
      <alignment horizontal="left" vertical="top" wrapText="1"/>
    </xf>
    <xf numFmtId="0" fontId="30" fillId="0" borderId="2"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164" fontId="30" fillId="0" borderId="2" xfId="0" applyNumberFormat="1" applyFont="1" applyBorder="1" applyAlignment="1" applyProtection="1">
      <alignment horizontal="center" vertical="center"/>
      <protection locked="0"/>
    </xf>
    <xf numFmtId="164" fontId="30" fillId="0" borderId="4" xfId="0" applyNumberFormat="1" applyFont="1" applyBorder="1" applyAlignment="1" applyProtection="1">
      <alignment horizontal="center" vertical="center"/>
      <protection locked="0"/>
    </xf>
    <xf numFmtId="0" fontId="10" fillId="0" borderId="0" xfId="0" applyFont="1" applyAlignment="1">
      <alignment horizontal="left" vertical="center"/>
    </xf>
    <xf numFmtId="0" fontId="10" fillId="0" borderId="0" xfId="0" applyFont="1" applyAlignment="1" applyProtection="1">
      <alignment horizontal="center" vertical="center"/>
      <protection locked="0"/>
    </xf>
    <xf numFmtId="0" fontId="38" fillId="3" borderId="1" xfId="0" applyFont="1" applyFill="1" applyBorder="1" applyAlignment="1">
      <alignment horizontal="center"/>
    </xf>
    <xf numFmtId="0" fontId="33" fillId="0" borderId="14" xfId="0" applyFont="1" applyBorder="1" applyAlignment="1">
      <alignment horizontal="center"/>
    </xf>
    <xf numFmtId="0" fontId="33" fillId="0" borderId="6" xfId="0" applyFont="1" applyBorder="1" applyAlignment="1">
      <alignment horizontal="center"/>
    </xf>
    <xf numFmtId="0" fontId="33" fillId="0" borderId="2" xfId="0" applyFont="1" applyBorder="1" applyAlignment="1">
      <alignment horizontal="center" wrapText="1"/>
    </xf>
    <xf numFmtId="0" fontId="33" fillId="0" borderId="4" xfId="0" applyFont="1" applyBorder="1" applyAlignment="1">
      <alignment horizontal="center" wrapText="1"/>
    </xf>
    <xf numFmtId="0" fontId="33" fillId="0" borderId="2" xfId="0" applyFont="1" applyBorder="1" applyAlignment="1" applyProtection="1">
      <alignment horizontal="center"/>
      <protection locked="0"/>
    </xf>
    <xf numFmtId="0" fontId="33" fillId="0" borderId="4" xfId="0" applyFont="1" applyBorder="1" applyAlignment="1" applyProtection="1">
      <alignment horizontal="center"/>
      <protection locked="0"/>
    </xf>
    <xf numFmtId="0" fontId="10" fillId="0" borderId="7" xfId="0" applyFont="1" applyBorder="1" applyAlignment="1">
      <alignment horizontal="left"/>
    </xf>
    <xf numFmtId="0" fontId="10" fillId="0" borderId="0" xfId="0" applyFont="1" applyAlignment="1">
      <alignment horizontal="left"/>
    </xf>
    <xf numFmtId="0" fontId="30" fillId="0" borderId="2" xfId="0" applyFont="1" applyBorder="1" applyAlignment="1">
      <alignment horizontal="right"/>
    </xf>
    <xf numFmtId="0" fontId="30" fillId="0" borderId="3" xfId="0" applyFont="1" applyBorder="1" applyAlignment="1">
      <alignment horizontal="right"/>
    </xf>
    <xf numFmtId="6" fontId="30" fillId="0" borderId="2" xfId="0" applyNumberFormat="1" applyFont="1" applyBorder="1" applyProtection="1">
      <protection locked="0"/>
    </xf>
    <xf numFmtId="6" fontId="30" fillId="0" borderId="4" xfId="0" applyNumberFormat="1" applyFont="1" applyBorder="1" applyProtection="1">
      <protection locked="0"/>
    </xf>
    <xf numFmtId="164" fontId="30" fillId="0" borderId="2" xfId="0" applyNumberFormat="1" applyFont="1" applyBorder="1" applyProtection="1">
      <protection locked="0"/>
    </xf>
    <xf numFmtId="164" fontId="30" fillId="0" borderId="4" xfId="0" applyNumberFormat="1" applyFont="1" applyBorder="1" applyProtection="1">
      <protection locked="0"/>
    </xf>
    <xf numFmtId="164" fontId="30" fillId="0" borderId="2" xfId="0" applyNumberFormat="1" applyFont="1" applyBorder="1" applyAlignment="1" applyProtection="1">
      <alignment horizontal="right"/>
      <protection locked="0"/>
    </xf>
    <xf numFmtId="164" fontId="30" fillId="0" borderId="4" xfId="0" applyNumberFormat="1" applyFont="1" applyBorder="1" applyAlignment="1" applyProtection="1">
      <alignment horizontal="right"/>
      <protection locked="0"/>
    </xf>
    <xf numFmtId="164" fontId="33" fillId="14" borderId="2" xfId="0" applyNumberFormat="1" applyFont="1" applyFill="1" applyBorder="1" applyAlignment="1">
      <alignment horizontal="right"/>
    </xf>
    <xf numFmtId="164" fontId="33" fillId="14" borderId="4" xfId="0" applyNumberFormat="1" applyFont="1" applyFill="1" applyBorder="1" applyAlignment="1">
      <alignment horizontal="right"/>
    </xf>
    <xf numFmtId="0" fontId="15" fillId="0" borderId="0" xfId="0" applyFont="1" applyAlignment="1">
      <alignment horizontal="left"/>
    </xf>
    <xf numFmtId="0" fontId="0" fillId="0" borderId="5" xfId="0" applyBorder="1" applyAlignment="1" applyProtection="1">
      <alignment horizontal="center" vertical="center"/>
      <protection locked="0"/>
    </xf>
    <xf numFmtId="0" fontId="30" fillId="0" borderId="1" xfId="0" applyFont="1" applyBorder="1" applyAlignment="1" applyProtection="1">
      <alignment horizontal="center" vertical="center" wrapText="1"/>
      <protection locked="0"/>
    </xf>
    <xf numFmtId="0" fontId="5" fillId="14" borderId="1" xfId="0" applyFont="1" applyFill="1" applyBorder="1" applyAlignment="1" applyProtection="1">
      <alignment horizontal="center" vertical="center"/>
      <protection locked="0"/>
    </xf>
    <xf numFmtId="0" fontId="32" fillId="0" borderId="7"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0" fillId="0" borderId="2" xfId="0" applyFont="1" applyBorder="1" applyAlignment="1" applyProtection="1">
      <alignment horizontal="right"/>
      <protection locked="0"/>
    </xf>
    <xf numFmtId="0" fontId="30" fillId="0" borderId="3" xfId="0" applyFont="1" applyBorder="1" applyAlignment="1" applyProtection="1">
      <alignment horizontal="right"/>
      <protection locked="0"/>
    </xf>
    <xf numFmtId="0" fontId="30" fillId="0" borderId="4" xfId="0" applyFont="1" applyBorder="1" applyAlignment="1" applyProtection="1">
      <alignment horizontal="right"/>
      <protection locked="0"/>
    </xf>
    <xf numFmtId="6" fontId="33" fillId="0" borderId="2" xfId="0" applyNumberFormat="1" applyFont="1" applyBorder="1" applyProtection="1">
      <protection locked="0"/>
    </xf>
    <xf numFmtId="0" fontId="33" fillId="0" borderId="4" xfId="0" applyFont="1" applyBorder="1" applyProtection="1">
      <protection locked="0"/>
    </xf>
    <xf numFmtId="164" fontId="33" fillId="0" borderId="2" xfId="0" applyNumberFormat="1" applyFont="1" applyBorder="1" applyProtection="1">
      <protection locked="0"/>
    </xf>
    <xf numFmtId="164" fontId="33" fillId="0" borderId="4" xfId="0" applyNumberFormat="1" applyFont="1" applyBorder="1" applyProtection="1">
      <protection locked="0"/>
    </xf>
    <xf numFmtId="164" fontId="33" fillId="0" borderId="1" xfId="0" applyNumberFormat="1" applyFont="1" applyBorder="1" applyProtection="1">
      <protection locked="0"/>
    </xf>
    <xf numFmtId="164" fontId="33" fillId="0" borderId="2" xfId="0" applyNumberFormat="1" applyFont="1" applyBorder="1" applyAlignment="1" applyProtection="1">
      <alignment horizontal="right"/>
      <protection locked="0"/>
    </xf>
    <xf numFmtId="164" fontId="33" fillId="0" borderId="4" xfId="0" applyNumberFormat="1" applyFont="1" applyBorder="1" applyAlignment="1" applyProtection="1">
      <alignment horizontal="right"/>
      <protection locked="0"/>
    </xf>
    <xf numFmtId="0" fontId="34" fillId="0" borderId="2" xfId="0" applyFont="1" applyBorder="1" applyAlignment="1">
      <alignment horizontal="right"/>
    </xf>
    <xf numFmtId="0" fontId="34" fillId="0" borderId="3" xfId="0" applyFont="1" applyBorder="1" applyAlignment="1">
      <alignment horizontal="right"/>
    </xf>
    <xf numFmtId="0" fontId="34" fillId="0" borderId="4" xfId="0" applyFont="1" applyBorder="1" applyAlignment="1">
      <alignment horizontal="right"/>
    </xf>
    <xf numFmtId="0" fontId="38" fillId="3" borderId="2" xfId="0" applyFont="1" applyFill="1" applyBorder="1" applyAlignment="1">
      <alignment horizontal="center"/>
    </xf>
    <xf numFmtId="0" fontId="38" fillId="3" borderId="3" xfId="0" applyFont="1" applyFill="1" applyBorder="1" applyAlignment="1">
      <alignment horizontal="center"/>
    </xf>
    <xf numFmtId="0" fontId="38" fillId="3" borderId="4" xfId="0" applyFont="1" applyFill="1" applyBorder="1" applyAlignment="1">
      <alignment horizontal="center"/>
    </xf>
    <xf numFmtId="0" fontId="34" fillId="0" borderId="18" xfId="0" applyFont="1" applyBorder="1" applyAlignment="1">
      <alignment horizontal="right"/>
    </xf>
    <xf numFmtId="0" fontId="34" fillId="0" borderId="25" xfId="0" applyFont="1" applyBorder="1" applyAlignment="1">
      <alignment horizontal="right"/>
    </xf>
    <xf numFmtId="164" fontId="33" fillId="14" borderId="9" xfId="0" applyNumberFormat="1" applyFont="1" applyFill="1" applyBorder="1" applyAlignment="1">
      <alignment horizontal="right"/>
    </xf>
    <xf numFmtId="164" fontId="33" fillId="14" borderId="11" xfId="0" applyNumberFormat="1" applyFont="1" applyFill="1" applyBorder="1" applyAlignment="1">
      <alignment horizontal="right"/>
    </xf>
    <xf numFmtId="164" fontId="33" fillId="14" borderId="18" xfId="0" applyNumberFormat="1" applyFont="1" applyFill="1" applyBorder="1" applyAlignment="1">
      <alignment horizontal="right"/>
    </xf>
    <xf numFmtId="164" fontId="33" fillId="14" borderId="19" xfId="0" applyNumberFormat="1" applyFont="1" applyFill="1" applyBorder="1" applyAlignment="1">
      <alignment horizontal="right"/>
    </xf>
    <xf numFmtId="0" fontId="15" fillId="0" borderId="5"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0" xfId="0" applyFont="1" applyAlignment="1" applyProtection="1">
      <alignment horizontal="center"/>
      <protection locked="0"/>
    </xf>
    <xf numFmtId="0" fontId="30" fillId="0" borderId="16" xfId="0" applyFont="1" applyBorder="1" applyAlignment="1">
      <alignment horizontal="right"/>
    </xf>
    <xf numFmtId="0" fontId="30" fillId="0" borderId="20" xfId="0" applyFont="1" applyBorder="1" applyAlignment="1">
      <alignment horizontal="right"/>
    </xf>
    <xf numFmtId="164" fontId="30" fillId="0" borderId="16" xfId="0" applyNumberFormat="1" applyFont="1" applyBorder="1" applyProtection="1">
      <protection locked="0"/>
    </xf>
    <xf numFmtId="164" fontId="30" fillId="0" borderId="17" xfId="0" applyNumberFormat="1" applyFont="1" applyBorder="1" applyProtection="1">
      <protection locked="0"/>
    </xf>
    <xf numFmtId="164" fontId="30" fillId="0" borderId="15" xfId="0" applyNumberFormat="1" applyFont="1" applyBorder="1" applyProtection="1">
      <protection locked="0"/>
    </xf>
    <xf numFmtId="164" fontId="33" fillId="0" borderId="16" xfId="0" applyNumberFormat="1" applyFont="1" applyBorder="1" applyAlignment="1" applyProtection="1">
      <alignment horizontal="right"/>
      <protection locked="0"/>
    </xf>
    <xf numFmtId="164" fontId="33" fillId="0" borderId="17" xfId="0" applyNumberFormat="1" applyFont="1" applyBorder="1" applyAlignment="1" applyProtection="1">
      <alignment horizontal="right"/>
      <protection locked="0"/>
    </xf>
    <xf numFmtId="0" fontId="34" fillId="0" borderId="16" xfId="0" applyFont="1" applyBorder="1" applyAlignment="1">
      <alignment horizontal="right"/>
    </xf>
    <xf numFmtId="0" fontId="34" fillId="0" borderId="20" xfId="0" applyFont="1" applyBorder="1" applyAlignment="1">
      <alignment horizontal="right"/>
    </xf>
    <xf numFmtId="164" fontId="33" fillId="14" borderId="16" xfId="0" applyNumberFormat="1" applyFont="1" applyFill="1" applyBorder="1" applyAlignment="1">
      <alignment horizontal="right"/>
    </xf>
    <xf numFmtId="164" fontId="33" fillId="14" borderId="17" xfId="0" applyNumberFormat="1" applyFont="1" applyFill="1" applyBorder="1" applyAlignment="1">
      <alignment horizontal="right"/>
    </xf>
    <xf numFmtId="164" fontId="30" fillId="0" borderId="2" xfId="4" applyNumberFormat="1" applyFont="1" applyBorder="1" applyAlignment="1" applyProtection="1">
      <alignment horizontal="right"/>
      <protection locked="0" hidden="1"/>
    </xf>
    <xf numFmtId="164" fontId="30" fillId="0" borderId="4" xfId="4" applyNumberFormat="1" applyFont="1" applyBorder="1" applyAlignment="1" applyProtection="1">
      <alignment horizontal="right"/>
      <protection locked="0" hidden="1"/>
    </xf>
    <xf numFmtId="164" fontId="33" fillId="0" borderId="2" xfId="0" applyNumberFormat="1" applyFont="1" applyBorder="1" applyAlignment="1" applyProtection="1">
      <alignment horizontal="right"/>
      <protection locked="0" hidden="1"/>
    </xf>
    <xf numFmtId="164" fontId="33" fillId="0" borderId="4" xfId="0" applyNumberFormat="1" applyFont="1" applyBorder="1" applyAlignment="1" applyProtection="1">
      <alignment horizontal="right"/>
      <protection locked="0" hidden="1"/>
    </xf>
    <xf numFmtId="0" fontId="5" fillId="0" borderId="0" xfId="0" applyFont="1" applyAlignment="1">
      <alignment horizontal="center"/>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pplyProtection="1">
      <alignment horizontal="center"/>
      <protection locked="0"/>
    </xf>
    <xf numFmtId="0" fontId="38" fillId="2" borderId="1" xfId="0" applyFont="1" applyFill="1" applyBorder="1" applyAlignment="1">
      <alignment horizontal="center"/>
    </xf>
    <xf numFmtId="164" fontId="30" fillId="0" borderId="2" xfId="4" applyNumberFormat="1" applyFont="1" applyBorder="1" applyAlignment="1" applyProtection="1">
      <alignment horizontal="right"/>
      <protection locked="0"/>
    </xf>
    <xf numFmtId="164" fontId="30" fillId="0" borderId="4" xfId="4" applyNumberFormat="1" applyFont="1" applyBorder="1" applyAlignment="1" applyProtection="1">
      <alignment horizontal="right"/>
      <protection locked="0"/>
    </xf>
    <xf numFmtId="0" fontId="5" fillId="0" borderId="0" xfId="0" applyFont="1" applyAlignment="1">
      <alignment horizontal="left" vertical="top" wrapText="1"/>
    </xf>
    <xf numFmtId="0" fontId="30" fillId="0" borderId="4" xfId="0" applyFont="1" applyBorder="1" applyAlignment="1">
      <alignment horizontal="right"/>
    </xf>
    <xf numFmtId="164" fontId="10" fillId="0" borderId="2" xfId="0" applyNumberFormat="1" applyFont="1" applyBorder="1" applyAlignment="1" applyProtection="1">
      <alignment horizontal="right"/>
      <protection locked="0"/>
    </xf>
    <xf numFmtId="164" fontId="10" fillId="0" borderId="4" xfId="0" applyNumberFormat="1" applyFont="1" applyBorder="1" applyAlignment="1" applyProtection="1">
      <alignment horizontal="right"/>
      <protection locked="0"/>
    </xf>
    <xf numFmtId="0" fontId="10" fillId="0" borderId="4" xfId="0" applyFont="1" applyBorder="1" applyAlignment="1" applyProtection="1">
      <alignment horizontal="right"/>
      <protection locked="0"/>
    </xf>
    <xf numFmtId="164" fontId="5" fillId="0" borderId="2" xfId="0" applyNumberFormat="1" applyFont="1" applyBorder="1" applyAlignment="1" applyProtection="1">
      <alignment horizontal="right"/>
      <protection locked="0"/>
    </xf>
    <xf numFmtId="164" fontId="5" fillId="0" borderId="4" xfId="0" applyNumberFormat="1" applyFont="1" applyBorder="1" applyAlignment="1" applyProtection="1">
      <alignment horizontal="right"/>
      <protection locked="0"/>
    </xf>
    <xf numFmtId="0" fontId="34" fillId="0" borderId="9" xfId="0" applyFont="1" applyBorder="1" applyAlignment="1">
      <alignment horizontal="right"/>
    </xf>
    <xf numFmtId="0" fontId="34" fillId="0" borderId="10" xfId="0" applyFont="1" applyBorder="1" applyAlignment="1">
      <alignment horizontal="right"/>
    </xf>
    <xf numFmtId="164" fontId="33" fillId="14" borderId="1" xfId="0" applyNumberFormat="1" applyFont="1" applyFill="1" applyBorder="1" applyAlignment="1">
      <alignment horizontal="right"/>
    </xf>
    <xf numFmtId="0" fontId="5" fillId="0" borderId="0" xfId="0" applyFont="1" applyAlignment="1">
      <alignment horizontal="left" vertical="top"/>
    </xf>
    <xf numFmtId="0" fontId="5" fillId="0" borderId="0" xfId="0" applyFont="1" applyAlignment="1">
      <alignment horizontal="left" vertical="center" wrapText="1"/>
    </xf>
    <xf numFmtId="9" fontId="33" fillId="14" borderId="1" xfId="2" applyFont="1" applyFill="1" applyBorder="1" applyAlignment="1" applyProtection="1">
      <alignment horizontal="right"/>
    </xf>
    <xf numFmtId="0" fontId="30" fillId="0" borderId="1" xfId="0" applyFont="1" applyBorder="1" applyAlignment="1">
      <alignment horizontal="right"/>
    </xf>
    <xf numFmtId="164" fontId="30" fillId="0" borderId="1" xfId="0" applyNumberFormat="1" applyFont="1" applyBorder="1" applyAlignment="1" applyProtection="1">
      <alignment horizontal="right"/>
      <protection locked="0"/>
    </xf>
    <xf numFmtId="0" fontId="30" fillId="0" borderId="1" xfId="0" applyFont="1" applyBorder="1" applyAlignment="1" applyProtection="1">
      <alignment horizontal="right"/>
      <protection locked="0"/>
    </xf>
    <xf numFmtId="164" fontId="30" fillId="17" borderId="2" xfId="0" applyNumberFormat="1" applyFont="1" applyFill="1" applyBorder="1" applyAlignment="1" applyProtection="1">
      <alignment horizontal="right"/>
      <protection locked="0"/>
    </xf>
    <xf numFmtId="164" fontId="30" fillId="17" borderId="4" xfId="0" applyNumberFormat="1" applyFont="1" applyFill="1" applyBorder="1" applyAlignment="1" applyProtection="1">
      <alignment horizontal="right"/>
      <protection locked="0"/>
    </xf>
    <xf numFmtId="0" fontId="9" fillId="0" borderId="1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34" fillId="0" borderId="10" xfId="0" applyFont="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6" fillId="0" borderId="14"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33" fillId="14" borderId="2" xfId="0" applyFont="1" applyFill="1" applyBorder="1" applyAlignment="1">
      <alignment horizontal="center"/>
    </xf>
    <xf numFmtId="0" fontId="33" fillId="14" borderId="4" xfId="0" applyFont="1" applyFill="1" applyBorder="1" applyAlignment="1">
      <alignment horizontal="center"/>
    </xf>
    <xf numFmtId="0" fontId="3" fillId="0" borderId="10" xfId="0" applyFont="1" applyBorder="1" applyAlignment="1" applyProtection="1">
      <alignment horizontal="left"/>
      <protection locked="0"/>
    </xf>
    <xf numFmtId="169" fontId="3" fillId="0" borderId="10" xfId="0" applyNumberFormat="1" applyFont="1" applyBorder="1" applyAlignment="1" applyProtection="1">
      <alignment horizontal="center"/>
      <protection locked="0"/>
    </xf>
    <xf numFmtId="0" fontId="3" fillId="0" borderId="0" xfId="0" applyFont="1" applyAlignment="1" applyProtection="1">
      <alignment horizontal="center"/>
      <protection locked="0"/>
    </xf>
    <xf numFmtId="0" fontId="10"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34" fillId="0" borderId="7" xfId="0" applyFont="1" applyBorder="1" applyAlignment="1" applyProtection="1">
      <alignment horizontal="right"/>
      <protection locked="0"/>
    </xf>
    <xf numFmtId="0" fontId="34" fillId="0" borderId="0" xfId="0" applyFont="1" applyAlignment="1" applyProtection="1">
      <alignment horizontal="right"/>
      <protection locked="0"/>
    </xf>
    <xf numFmtId="0" fontId="34" fillId="0" borderId="8" xfId="0" applyFont="1" applyBorder="1" applyAlignment="1" applyProtection="1">
      <alignment horizontal="right"/>
      <protection locked="0"/>
    </xf>
    <xf numFmtId="164" fontId="30" fillId="14" borderId="2" xfId="0" applyNumberFormat="1" applyFont="1" applyFill="1" applyBorder="1" applyAlignment="1">
      <alignment horizontal="right"/>
    </xf>
    <xf numFmtId="164" fontId="30" fillId="14" borderId="4" xfId="0" applyNumberFormat="1" applyFont="1" applyFill="1" applyBorder="1" applyAlignment="1">
      <alignment horizontal="right"/>
    </xf>
    <xf numFmtId="0" fontId="34" fillId="0" borderId="7" xfId="0" applyFont="1" applyBorder="1" applyAlignment="1">
      <alignment horizontal="right"/>
    </xf>
    <xf numFmtId="0" fontId="34" fillId="0" borderId="0" xfId="0" applyFont="1" applyAlignment="1">
      <alignment horizontal="right"/>
    </xf>
    <xf numFmtId="0" fontId="34" fillId="0" borderId="8" xfId="0" applyFont="1" applyBorder="1" applyAlignment="1">
      <alignment horizontal="right"/>
    </xf>
    <xf numFmtId="0" fontId="30" fillId="0" borderId="0" xfId="0" applyFont="1" applyAlignment="1" applyProtection="1">
      <alignment horizontal="center"/>
      <protection locked="0"/>
    </xf>
    <xf numFmtId="0" fontId="33" fillId="0" borderId="0" xfId="0" applyFont="1" applyAlignment="1" applyProtection="1">
      <alignment horizontal="right"/>
      <protection locked="0"/>
    </xf>
    <xf numFmtId="171" fontId="33" fillId="14" borderId="10" xfId="2" applyNumberFormat="1" applyFont="1" applyFill="1" applyBorder="1" applyAlignment="1" applyProtection="1">
      <alignment horizontal="center"/>
      <protection locked="0"/>
    </xf>
    <xf numFmtId="171" fontId="33" fillId="18" borderId="3" xfId="2" applyNumberFormat="1" applyFont="1" applyFill="1" applyBorder="1" applyAlignment="1" applyProtection="1">
      <alignment horizontal="center"/>
      <protection locked="0"/>
    </xf>
    <xf numFmtId="0" fontId="5" fillId="14" borderId="1" xfId="0" applyFont="1" applyFill="1" applyBorder="1" applyAlignment="1" applyProtection="1">
      <alignment horizontal="center"/>
      <protection locked="0"/>
    </xf>
    <xf numFmtId="164" fontId="33" fillId="14" borderId="12" xfId="0" applyNumberFormat="1" applyFont="1" applyFill="1" applyBorder="1" applyAlignment="1">
      <alignment horizontal="right"/>
    </xf>
    <xf numFmtId="164" fontId="33" fillId="14" borderId="30" xfId="0" applyNumberFormat="1" applyFont="1" applyFill="1" applyBorder="1" applyAlignment="1">
      <alignment horizontal="right"/>
    </xf>
    <xf numFmtId="0" fontId="3" fillId="0" borderId="10" xfId="0" applyFont="1" applyBorder="1" applyAlignment="1" applyProtection="1">
      <alignment horizontal="right"/>
      <protection locked="0"/>
    </xf>
    <xf numFmtId="0" fontId="3" fillId="0" borderId="29" xfId="0" applyFont="1" applyBorder="1" applyAlignment="1" applyProtection="1">
      <alignment horizontal="right"/>
      <protection locked="0"/>
    </xf>
    <xf numFmtId="171" fontId="33" fillId="14" borderId="3" xfId="2" applyNumberFormat="1" applyFont="1" applyFill="1" applyBorder="1" applyAlignment="1" applyProtection="1">
      <alignment horizontal="center"/>
    </xf>
    <xf numFmtId="0" fontId="5" fillId="0" borderId="1" xfId="0" applyFont="1" applyBorder="1" applyAlignment="1">
      <alignment horizontal="center"/>
    </xf>
    <xf numFmtId="164" fontId="33" fillId="14" borderId="3" xfId="0" applyNumberFormat="1" applyFont="1" applyFill="1" applyBorder="1" applyAlignment="1">
      <alignment horizontal="right"/>
    </xf>
    <xf numFmtId="0" fontId="33" fillId="0" borderId="10" xfId="0" applyFont="1" applyBorder="1" applyAlignment="1">
      <alignment horizontal="center"/>
    </xf>
    <xf numFmtId="171" fontId="33" fillId="14" borderId="10" xfId="6" applyNumberFormat="1" applyFont="1" applyFill="1" applyBorder="1" applyAlignment="1" applyProtection="1">
      <alignment horizontal="center"/>
    </xf>
    <xf numFmtId="0" fontId="24" fillId="0" borderId="1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6" fontId="33" fillId="14" borderId="2" xfId="0" applyNumberFormat="1" applyFont="1" applyFill="1" applyBorder="1" applyAlignment="1">
      <alignment horizontal="center"/>
    </xf>
    <xf numFmtId="6" fontId="33" fillId="14" borderId="4" xfId="0" applyNumberFormat="1" applyFont="1" applyFill="1" applyBorder="1" applyAlignment="1">
      <alignment horizontal="center"/>
    </xf>
    <xf numFmtId="0" fontId="33" fillId="13" borderId="2" xfId="0" applyFont="1" applyFill="1" applyBorder="1" applyAlignment="1">
      <alignment horizontal="center"/>
    </xf>
    <xf numFmtId="0" fontId="33" fillId="13" borderId="4" xfId="0" applyFont="1" applyFill="1" applyBorder="1" applyAlignment="1">
      <alignment horizontal="center"/>
    </xf>
    <xf numFmtId="0" fontId="34" fillId="0" borderId="7" xfId="0" applyFont="1" applyBorder="1" applyAlignment="1" applyProtection="1">
      <alignment horizontal="center"/>
      <protection locked="0"/>
    </xf>
    <xf numFmtId="0" fontId="34" fillId="0" borderId="0" xfId="0" applyFont="1" applyAlignment="1" applyProtection="1">
      <alignment horizontal="center"/>
      <protection locked="0"/>
    </xf>
    <xf numFmtId="0" fontId="34" fillId="0" borderId="8" xfId="0" applyFont="1" applyBorder="1" applyAlignment="1" applyProtection="1">
      <alignment horizontal="center"/>
      <protection locked="0"/>
    </xf>
    <xf numFmtId="164" fontId="33" fillId="14" borderId="10" xfId="0" applyNumberFormat="1" applyFont="1" applyFill="1" applyBorder="1" applyAlignment="1">
      <alignment horizontal="right"/>
    </xf>
    <xf numFmtId="1" fontId="33" fillId="18" borderId="3" xfId="0" applyNumberFormat="1" applyFont="1" applyFill="1" applyBorder="1" applyAlignment="1" applyProtection="1">
      <alignment horizontal="center"/>
      <protection locked="0"/>
    </xf>
    <xf numFmtId="164" fontId="33" fillId="18" borderId="3" xfId="0" applyNumberFormat="1" applyFont="1" applyFill="1" applyBorder="1" applyAlignment="1" applyProtection="1">
      <alignment horizontal="right"/>
      <protection locked="0"/>
    </xf>
    <xf numFmtId="171" fontId="33" fillId="14" borderId="3" xfId="6" applyNumberFormat="1" applyFont="1" applyFill="1" applyBorder="1" applyAlignment="1" applyProtection="1">
      <alignment horizontal="center"/>
    </xf>
    <xf numFmtId="164" fontId="33" fillId="18" borderId="2" xfId="0" applyNumberFormat="1" applyFont="1" applyFill="1" applyBorder="1" applyAlignment="1" applyProtection="1">
      <alignment horizontal="right"/>
      <protection locked="0"/>
    </xf>
    <xf numFmtId="164" fontId="33" fillId="18" borderId="4" xfId="0" applyNumberFormat="1" applyFont="1" applyFill="1" applyBorder="1" applyAlignment="1" applyProtection="1">
      <alignment horizontal="right"/>
      <protection locked="0"/>
    </xf>
    <xf numFmtId="0" fontId="33" fillId="0" borderId="5" xfId="9" applyFont="1" applyBorder="1" applyAlignment="1" applyProtection="1">
      <alignment horizontal="center"/>
      <protection locked="0"/>
    </xf>
    <xf numFmtId="0" fontId="33" fillId="0" borderId="6" xfId="9" applyFont="1" applyBorder="1" applyAlignment="1" applyProtection="1">
      <alignment horizontal="center"/>
      <protection locked="0"/>
    </xf>
    <xf numFmtId="0" fontId="33" fillId="0" borderId="1" xfId="9" applyFont="1" applyBorder="1" applyAlignment="1">
      <alignment horizontal="center"/>
    </xf>
    <xf numFmtId="171" fontId="33" fillId="14" borderId="1" xfId="9" applyNumberFormat="1" applyFont="1" applyFill="1" applyBorder="1" applyAlignment="1">
      <alignment horizontal="center"/>
    </xf>
    <xf numFmtId="164" fontId="33" fillId="14" borderId="27" xfId="0" applyNumberFormat="1" applyFont="1" applyFill="1" applyBorder="1" applyAlignment="1">
      <alignment horizontal="right"/>
    </xf>
    <xf numFmtId="0" fontId="34" fillId="0" borderId="1" xfId="0" applyFont="1" applyBorder="1" applyAlignment="1">
      <alignment horizontal="center"/>
    </xf>
    <xf numFmtId="170" fontId="33" fillId="14" borderId="1" xfId="9" applyNumberFormat="1" applyFont="1" applyFill="1" applyBorder="1" applyAlignment="1">
      <alignment horizontal="right"/>
    </xf>
    <xf numFmtId="164" fontId="45" fillId="14" borderId="1" xfId="9" applyNumberFormat="1" applyFont="1" applyFill="1" applyBorder="1" applyAlignment="1">
      <alignment horizontal="right"/>
    </xf>
    <xf numFmtId="6" fontId="45" fillId="14" borderId="1" xfId="9" applyNumberFormat="1" applyFont="1" applyFill="1" applyBorder="1" applyAlignment="1">
      <alignment horizontal="right"/>
    </xf>
    <xf numFmtId="1" fontId="45" fillId="14" borderId="1" xfId="9" applyNumberFormat="1" applyFont="1" applyFill="1" applyBorder="1" applyAlignment="1">
      <alignment horizontal="center"/>
    </xf>
    <xf numFmtId="170" fontId="33" fillId="14" borderId="10" xfId="9" applyNumberFormat="1" applyFont="1" applyFill="1" applyBorder="1" applyAlignment="1">
      <alignment horizontal="right"/>
    </xf>
    <xf numFmtId="164" fontId="33" fillId="14" borderId="1" xfId="9" applyNumberFormat="1" applyFont="1" applyFill="1" applyBorder="1" applyAlignment="1">
      <alignment horizontal="right"/>
    </xf>
    <xf numFmtId="164" fontId="33" fillId="14" borderId="27" xfId="0" applyNumberFormat="1" applyFont="1" applyFill="1" applyBorder="1" applyAlignment="1">
      <alignment horizontal="center"/>
    </xf>
    <xf numFmtId="164" fontId="33" fillId="14" borderId="31" xfId="0" applyNumberFormat="1" applyFont="1" applyFill="1" applyBorder="1" applyAlignment="1">
      <alignment horizontal="center"/>
    </xf>
    <xf numFmtId="0" fontId="2" fillId="3" borderId="21" xfId="0" applyFont="1" applyFill="1" applyBorder="1" applyAlignment="1">
      <alignment horizontal="center"/>
    </xf>
    <xf numFmtId="0" fontId="2" fillId="3" borderId="13" xfId="0" applyFont="1" applyFill="1" applyBorder="1" applyAlignment="1">
      <alignment horizontal="center"/>
    </xf>
    <xf numFmtId="0" fontId="33" fillId="18" borderId="1" xfId="2" applyNumberFormat="1" applyFont="1" applyFill="1" applyBorder="1" applyAlignment="1" applyProtection="1">
      <alignment horizontal="center"/>
      <protection locked="0"/>
    </xf>
    <xf numFmtId="9" fontId="2" fillId="18" borderId="1" xfId="2" applyFont="1" applyFill="1" applyBorder="1" applyAlignment="1" applyProtection="1">
      <alignment horizontal="center"/>
      <protection locked="0"/>
    </xf>
    <xf numFmtId="2" fontId="33" fillId="14" borderId="1" xfId="0" applyNumberFormat="1" applyFont="1" applyFill="1" applyBorder="1" applyAlignment="1" applyProtection="1">
      <alignment horizontal="center"/>
      <protection locked="0"/>
    </xf>
    <xf numFmtId="0" fontId="32" fillId="0" borderId="14"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164" fontId="33" fillId="14" borderId="10" xfId="2" applyNumberFormat="1" applyFont="1" applyFill="1" applyBorder="1" applyAlignment="1">
      <alignment horizontal="center"/>
    </xf>
    <xf numFmtId="164" fontId="33" fillId="14" borderId="11" xfId="2" applyNumberFormat="1" applyFont="1" applyFill="1" applyBorder="1" applyAlignment="1">
      <alignment horizontal="center"/>
    </xf>
    <xf numFmtId="0" fontId="33" fillId="3" borderId="1" xfId="0" applyFont="1" applyFill="1" applyBorder="1" applyAlignment="1">
      <alignment horizontal="center" wrapText="1"/>
    </xf>
    <xf numFmtId="0" fontId="33" fillId="3" borderId="1" xfId="0" applyFont="1" applyFill="1" applyBorder="1" applyAlignment="1">
      <alignment horizontal="center"/>
    </xf>
    <xf numFmtId="0" fontId="33" fillId="3" borderId="21" xfId="0" applyFont="1" applyFill="1" applyBorder="1" applyAlignment="1">
      <alignment horizontal="center" wrapText="1"/>
    </xf>
    <xf numFmtId="0" fontId="33" fillId="3" borderId="13" xfId="0" applyFont="1" applyFill="1" applyBorder="1" applyAlignment="1">
      <alignment horizontal="center" wrapText="1"/>
    </xf>
    <xf numFmtId="0" fontId="51" fillId="8" borderId="2" xfId="0" applyFont="1" applyFill="1" applyBorder="1" applyAlignment="1" applyProtection="1">
      <alignment horizontal="center"/>
      <protection hidden="1"/>
    </xf>
    <xf numFmtId="0" fontId="51" fillId="8" borderId="3" xfId="0" applyFont="1" applyFill="1" applyBorder="1" applyAlignment="1" applyProtection="1">
      <alignment horizontal="center"/>
      <protection hidden="1"/>
    </xf>
    <xf numFmtId="0" fontId="18" fillId="10" borderId="2" xfId="0" applyFont="1" applyFill="1" applyBorder="1" applyAlignment="1" applyProtection="1">
      <alignment horizontal="center"/>
      <protection hidden="1"/>
    </xf>
    <xf numFmtId="0" fontId="18" fillId="10" borderId="3" xfId="0" applyFont="1" applyFill="1" applyBorder="1" applyAlignment="1" applyProtection="1">
      <alignment horizontal="center"/>
      <protection hidden="1"/>
    </xf>
    <xf numFmtId="0" fontId="18" fillId="10" borderId="4" xfId="0" applyFont="1" applyFill="1" applyBorder="1" applyAlignment="1" applyProtection="1">
      <alignment horizontal="center"/>
      <protection hidden="1"/>
    </xf>
    <xf numFmtId="0" fontId="55" fillId="6" borderId="2" xfId="0" applyFont="1" applyFill="1" applyBorder="1" applyAlignment="1" applyProtection="1">
      <alignment horizontal="center"/>
      <protection hidden="1"/>
    </xf>
    <xf numFmtId="0" fontId="55" fillId="6" borderId="3" xfId="0" applyFont="1" applyFill="1" applyBorder="1" applyAlignment="1" applyProtection="1">
      <alignment horizontal="center"/>
      <protection hidden="1"/>
    </xf>
    <xf numFmtId="0" fontId="55" fillId="6" borderId="4" xfId="0" applyFont="1" applyFill="1" applyBorder="1" applyAlignment="1" applyProtection="1">
      <alignment horizontal="center"/>
      <protection hidden="1"/>
    </xf>
    <xf numFmtId="0" fontId="55" fillId="9" borderId="2" xfId="0" applyFont="1" applyFill="1" applyBorder="1" applyAlignment="1" applyProtection="1">
      <alignment horizontal="center"/>
      <protection hidden="1"/>
    </xf>
    <xf numFmtId="0" fontId="55" fillId="9" borderId="3" xfId="0" applyFont="1" applyFill="1" applyBorder="1" applyAlignment="1" applyProtection="1">
      <alignment horizontal="center"/>
      <protection hidden="1"/>
    </xf>
    <xf numFmtId="0" fontId="55" fillId="9" borderId="4" xfId="0" applyFont="1" applyFill="1" applyBorder="1" applyAlignment="1" applyProtection="1">
      <alignment horizontal="center"/>
      <protection hidden="1"/>
    </xf>
    <xf numFmtId="0" fontId="55" fillId="14" borderId="2" xfId="0" applyFont="1" applyFill="1" applyBorder="1" applyAlignment="1" applyProtection="1">
      <alignment horizontal="center"/>
      <protection hidden="1"/>
    </xf>
    <xf numFmtId="0" fontId="55" fillId="14" borderId="3" xfId="0" applyFont="1" applyFill="1" applyBorder="1" applyAlignment="1" applyProtection="1">
      <alignment horizontal="center"/>
      <protection hidden="1"/>
    </xf>
    <xf numFmtId="0" fontId="55" fillId="14" borderId="4" xfId="0" applyFont="1" applyFill="1" applyBorder="1" applyAlignment="1" applyProtection="1">
      <alignment horizontal="center"/>
      <protection hidden="1"/>
    </xf>
    <xf numFmtId="0" fontId="18" fillId="11" borderId="2" xfId="0" applyFont="1" applyFill="1" applyBorder="1" applyAlignment="1" applyProtection="1">
      <alignment horizontal="center"/>
      <protection hidden="1"/>
    </xf>
    <xf numFmtId="0" fontId="18" fillId="11" borderId="3" xfId="0" applyFont="1" applyFill="1" applyBorder="1" applyAlignment="1" applyProtection="1">
      <alignment horizontal="center"/>
      <protection hidden="1"/>
    </xf>
    <xf numFmtId="0" fontId="18" fillId="11" borderId="4" xfId="0" applyFont="1" applyFill="1" applyBorder="1" applyAlignment="1" applyProtection="1">
      <alignment horizontal="center"/>
      <protection hidden="1"/>
    </xf>
    <xf numFmtId="0" fontId="18" fillId="6" borderId="2" xfId="0" applyFont="1" applyFill="1" applyBorder="1" applyAlignment="1" applyProtection="1">
      <alignment horizontal="center"/>
      <protection hidden="1"/>
    </xf>
    <xf numFmtId="0" fontId="18" fillId="6" borderId="3" xfId="0" applyFont="1" applyFill="1" applyBorder="1" applyAlignment="1" applyProtection="1">
      <alignment horizontal="center"/>
      <protection hidden="1"/>
    </xf>
    <xf numFmtId="0" fontId="18" fillId="6" borderId="4" xfId="0" applyFont="1" applyFill="1" applyBorder="1" applyAlignment="1" applyProtection="1">
      <alignment horizontal="center"/>
      <protection hidden="1"/>
    </xf>
    <xf numFmtId="164" fontId="32" fillId="0" borderId="32" xfId="0" applyNumberFormat="1" applyFont="1" applyBorder="1" applyAlignment="1" applyProtection="1">
      <alignment horizontal="center"/>
      <protection hidden="1"/>
    </xf>
    <xf numFmtId="0" fontId="18" fillId="9" borderId="2" xfId="0" applyFont="1" applyFill="1" applyBorder="1" applyAlignment="1" applyProtection="1">
      <alignment horizontal="center"/>
      <protection hidden="1"/>
    </xf>
    <xf numFmtId="0" fontId="18" fillId="9" borderId="3" xfId="0" applyFont="1" applyFill="1" applyBorder="1" applyAlignment="1" applyProtection="1">
      <alignment horizontal="center"/>
      <protection hidden="1"/>
    </xf>
    <xf numFmtId="0" fontId="18" fillId="9" borderId="4" xfId="0" applyFont="1" applyFill="1" applyBorder="1" applyAlignment="1" applyProtection="1">
      <alignment horizontal="center"/>
      <protection hidden="1"/>
    </xf>
    <xf numFmtId="0" fontId="18" fillId="3" borderId="2" xfId="0" applyFont="1" applyFill="1" applyBorder="1" applyAlignment="1" applyProtection="1">
      <alignment horizontal="center"/>
      <protection hidden="1"/>
    </xf>
    <xf numFmtId="0" fontId="18" fillId="3" borderId="3" xfId="0" applyFont="1" applyFill="1" applyBorder="1" applyAlignment="1" applyProtection="1">
      <alignment horizontal="center"/>
      <protection hidden="1"/>
    </xf>
    <xf numFmtId="0" fontId="18" fillId="3" borderId="4" xfId="0" applyFont="1" applyFill="1" applyBorder="1" applyAlignment="1" applyProtection="1">
      <alignment horizontal="center"/>
      <protection hidden="1"/>
    </xf>
    <xf numFmtId="0" fontId="18" fillId="7" borderId="2" xfId="0" applyFont="1" applyFill="1" applyBorder="1" applyAlignment="1" applyProtection="1">
      <alignment horizontal="center"/>
      <protection hidden="1"/>
    </xf>
    <xf numFmtId="0" fontId="18" fillId="7" borderId="3" xfId="0" applyFont="1" applyFill="1" applyBorder="1" applyAlignment="1" applyProtection="1">
      <alignment horizontal="center"/>
      <protection hidden="1"/>
    </xf>
    <xf numFmtId="0" fontId="18" fillId="7" borderId="4" xfId="0" applyFont="1" applyFill="1" applyBorder="1" applyAlignment="1" applyProtection="1">
      <alignment horizontal="center"/>
      <protection hidden="1"/>
    </xf>
    <xf numFmtId="0" fontId="18" fillId="4" borderId="2" xfId="0" applyFont="1" applyFill="1" applyBorder="1" applyAlignment="1" applyProtection="1">
      <alignment horizontal="center"/>
      <protection hidden="1"/>
    </xf>
    <xf numFmtId="0" fontId="18" fillId="4" borderId="3" xfId="0" applyFont="1" applyFill="1" applyBorder="1" applyAlignment="1" applyProtection="1">
      <alignment horizontal="center"/>
      <protection hidden="1"/>
    </xf>
    <xf numFmtId="0" fontId="18" fillId="4" borderId="4" xfId="0" applyFont="1" applyFill="1" applyBorder="1" applyAlignment="1" applyProtection="1">
      <alignment horizontal="center"/>
      <protection hidden="1"/>
    </xf>
    <xf numFmtId="0" fontId="18" fillId="20" borderId="2" xfId="0" applyFont="1" applyFill="1" applyBorder="1" applyAlignment="1" applyProtection="1">
      <alignment horizontal="center"/>
      <protection hidden="1"/>
    </xf>
    <xf numFmtId="0" fontId="18" fillId="20" borderId="3" xfId="0" applyFont="1" applyFill="1" applyBorder="1" applyAlignment="1" applyProtection="1">
      <alignment horizontal="center"/>
      <protection hidden="1"/>
    </xf>
    <xf numFmtId="0" fontId="18" fillId="20" borderId="4" xfId="0" applyFont="1" applyFill="1" applyBorder="1" applyAlignment="1" applyProtection="1">
      <alignment horizontal="center"/>
      <protection hidden="1"/>
    </xf>
    <xf numFmtId="0" fontId="51" fillId="8" borderId="4" xfId="0" applyFont="1" applyFill="1" applyBorder="1" applyAlignment="1" applyProtection="1">
      <alignment horizontal="center"/>
      <protection hidden="1"/>
    </xf>
    <xf numFmtId="0" fontId="18" fillId="8" borderId="2" xfId="0" applyFont="1" applyFill="1" applyBorder="1" applyAlignment="1" applyProtection="1">
      <alignment horizontal="center"/>
      <protection hidden="1"/>
    </xf>
    <xf numFmtId="0" fontId="18" fillId="8" borderId="3" xfId="0" applyFont="1" applyFill="1" applyBorder="1" applyAlignment="1" applyProtection="1">
      <alignment horizontal="center"/>
      <protection hidden="1"/>
    </xf>
    <xf numFmtId="0" fontId="18" fillId="8" borderId="4" xfId="0" applyFont="1" applyFill="1" applyBorder="1" applyAlignment="1" applyProtection="1">
      <alignment horizontal="center"/>
      <protection hidden="1"/>
    </xf>
    <xf numFmtId="167" fontId="32" fillId="0" borderId="0" xfId="0" applyNumberFormat="1" applyFont="1" applyAlignment="1" applyProtection="1">
      <alignment horizontal="center"/>
      <protection hidden="1"/>
    </xf>
    <xf numFmtId="0" fontId="25" fillId="0" borderId="0" xfId="0" applyFont="1" applyAlignment="1" applyProtection="1">
      <alignment horizontal="left" vertical="center" wrapText="1"/>
      <protection hidden="1"/>
    </xf>
    <xf numFmtId="0" fontId="24" fillId="0" borderId="0" xfId="0" applyFont="1" applyAlignment="1" applyProtection="1">
      <alignment horizontal="left" vertical="center" wrapText="1"/>
      <protection hidden="1"/>
    </xf>
  </cellXfs>
  <cellStyles count="13">
    <cellStyle name="Comma" xfId="3" builtinId="3"/>
    <cellStyle name="Comma 2" xfId="5" xr:uid="{00000000-0005-0000-0000-000001000000}"/>
    <cellStyle name="Currency" xfId="12" builtinId="4"/>
    <cellStyle name="Currency 2" xfId="8" xr:uid="{00000000-0005-0000-0000-000003000000}"/>
    <cellStyle name="Currency 25" xfId="11" xr:uid="{00000000-0005-0000-0000-000004000000}"/>
    <cellStyle name="Hyperlink" xfId="1" builtinId="8"/>
    <cellStyle name="Normal" xfId="0" builtinId="0"/>
    <cellStyle name="Normal 2" xfId="4" xr:uid="{00000000-0005-0000-0000-000007000000}"/>
    <cellStyle name="Normal 20 2" xfId="9" xr:uid="{00000000-0005-0000-0000-000008000000}"/>
    <cellStyle name="Normal 20 5" xfId="10" xr:uid="{00000000-0005-0000-0000-000009000000}"/>
    <cellStyle name="Normal 3" xfId="7" xr:uid="{00000000-0005-0000-0000-00000A000000}"/>
    <cellStyle name="Percent" xfId="2" builtinId="5"/>
    <cellStyle name="Percent 2" xfId="6" xr:uid="{00000000-0005-0000-0000-00000C000000}"/>
  </cellStyles>
  <dxfs count="0"/>
  <tableStyles count="0" defaultTableStyle="TableStyleMedium2" defaultPivotStyle="PivotStyleLight16"/>
  <colors>
    <mruColors>
      <color rgb="FFFFFF99"/>
      <color rgb="FFCC99FF"/>
      <color rgb="FFFFFFCC"/>
      <color rgb="FFFF0000"/>
      <color rgb="FFFFFF66"/>
      <color rgb="FF9966FF"/>
      <color rgb="FF9999FF"/>
      <color rgb="FFF3F4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7</xdr:row>
          <xdr:rowOff>38100</xdr:rowOff>
        </xdr:from>
        <xdr:to>
          <xdr:col>5</xdr:col>
          <xdr:colOff>66675</xdr:colOff>
          <xdr:row>7</xdr:row>
          <xdr:rowOff>209550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0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7</xdr:row>
          <xdr:rowOff>28575</xdr:rowOff>
        </xdr:from>
        <xdr:to>
          <xdr:col>9</xdr:col>
          <xdr:colOff>19050</xdr:colOff>
          <xdr:row>7</xdr:row>
          <xdr:rowOff>209550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0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7</xdr:row>
          <xdr:rowOff>9525</xdr:rowOff>
        </xdr:from>
        <xdr:to>
          <xdr:col>10</xdr:col>
          <xdr:colOff>457200</xdr:colOff>
          <xdr:row>7</xdr:row>
          <xdr:rowOff>209550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0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8</xdr:row>
          <xdr:rowOff>57150</xdr:rowOff>
        </xdr:from>
        <xdr:to>
          <xdr:col>6</xdr:col>
          <xdr:colOff>85725</xdr:colOff>
          <xdr:row>8</xdr:row>
          <xdr:rowOff>200025</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0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8</xdr:row>
          <xdr:rowOff>57150</xdr:rowOff>
        </xdr:from>
        <xdr:to>
          <xdr:col>7</xdr:col>
          <xdr:colOff>476250</xdr:colOff>
          <xdr:row>8</xdr:row>
          <xdr:rowOff>200025</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0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xdr:row>
          <xdr:rowOff>19050</xdr:rowOff>
        </xdr:from>
        <xdr:to>
          <xdr:col>7</xdr:col>
          <xdr:colOff>285750</xdr:colOff>
          <xdr:row>7</xdr:row>
          <xdr:rowOff>219075</xdr:rowOff>
        </xdr:to>
        <xdr:sp macro="" textlink="">
          <xdr:nvSpPr>
            <xdr:cNvPr id="120847" name="Check Box 15" hidden="1">
              <a:extLst>
                <a:ext uri="{63B3BB69-23CF-44E3-9099-C40C66FF867C}">
                  <a14:compatExt spid="_x0000_s120847"/>
                </a:ext>
                <a:ext uri="{FF2B5EF4-FFF2-40B4-BE49-F238E27FC236}">
                  <a16:creationId xmlns:a16="http://schemas.microsoft.com/office/drawing/2014/main" id="{00000000-0008-0000-0000-00000F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28575</xdr:rowOff>
        </xdr:from>
        <xdr:to>
          <xdr:col>3</xdr:col>
          <xdr:colOff>466725</xdr:colOff>
          <xdr:row>8</xdr:row>
          <xdr:rowOff>209550</xdr:rowOff>
        </xdr:to>
        <xdr:sp macro="" textlink="">
          <xdr:nvSpPr>
            <xdr:cNvPr id="120848" name="Check Box 16" hidden="1">
              <a:extLst>
                <a:ext uri="{63B3BB69-23CF-44E3-9099-C40C66FF867C}">
                  <a14:compatExt spid="_x0000_s120848"/>
                </a:ext>
                <a:ext uri="{FF2B5EF4-FFF2-40B4-BE49-F238E27FC236}">
                  <a16:creationId xmlns:a16="http://schemas.microsoft.com/office/drawing/2014/main" id="{00000000-0008-0000-0000-000010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4343B-6FA3-4BC7-9EA0-A105D99F2B49}">
  <dimension ref="A1:HS148"/>
  <sheetViews>
    <sheetView showGridLines="0" tabSelected="1" zoomScaleNormal="100" zoomScaleSheetLayoutView="100" workbookViewId="0">
      <selection activeCell="AG18" sqref="AG18"/>
    </sheetView>
  </sheetViews>
  <sheetFormatPr defaultColWidth="9.33203125" defaultRowHeight="11.25" x14ac:dyDescent="0.2"/>
  <cols>
    <col min="1" max="1" width="16.5" style="137" customWidth="1"/>
    <col min="2" max="2" width="7.83203125" style="137" customWidth="1"/>
    <col min="3" max="3" width="9.5" style="137" customWidth="1"/>
    <col min="4" max="7" width="9.33203125" style="137" customWidth="1"/>
    <col min="8" max="8" width="10.6640625" style="137" bestFit="1" customWidth="1"/>
    <col min="9" max="11" width="9.33203125" style="137" customWidth="1"/>
    <col min="12" max="12" width="9.83203125" style="137" customWidth="1"/>
    <col min="13" max="13" width="9.33203125" style="203" customWidth="1"/>
    <col min="14" max="14" width="1.5" style="137" customWidth="1"/>
    <col min="15" max="15" width="14.33203125" style="262" customWidth="1"/>
    <col min="16" max="18" width="13" style="137" customWidth="1"/>
    <col min="19" max="19" width="22.1640625" style="137" customWidth="1"/>
    <col min="20" max="20" width="9.33203125" style="138" hidden="1" customWidth="1"/>
    <col min="21" max="21" width="17.33203125" style="19" hidden="1" customWidth="1"/>
    <col min="22" max="22" width="15.33203125" style="19" hidden="1" customWidth="1"/>
    <col min="23" max="23" width="10.1640625" style="129" hidden="1" customWidth="1"/>
    <col min="24" max="25" width="10.1640625" style="19" hidden="1" customWidth="1"/>
    <col min="26" max="26" width="16" style="216" hidden="1" customWidth="1"/>
    <col min="27" max="27" width="9.33203125" style="137" hidden="1" customWidth="1"/>
    <col min="28" max="28" width="10" style="137" customWidth="1"/>
    <col min="29" max="16384" width="9.33203125" style="137"/>
  </cols>
  <sheetData>
    <row r="1" spans="1:26" ht="15.6" customHeight="1" x14ac:dyDescent="0.25">
      <c r="A1" s="459" t="s">
        <v>98</v>
      </c>
      <c r="B1" s="460"/>
      <c r="C1" s="460"/>
      <c r="D1" s="460"/>
      <c r="E1" s="460"/>
      <c r="F1" s="460"/>
      <c r="G1" s="460"/>
      <c r="H1" s="460"/>
      <c r="I1" s="460"/>
      <c r="J1" s="460"/>
      <c r="K1" s="460"/>
      <c r="L1" s="460"/>
      <c r="M1" s="460"/>
      <c r="N1" s="136"/>
      <c r="U1" s="120" t="s">
        <v>16</v>
      </c>
      <c r="V1" s="121" t="s">
        <v>7</v>
      </c>
      <c r="W1" s="122" t="s">
        <v>23</v>
      </c>
      <c r="X1" s="123" t="s">
        <v>392</v>
      </c>
      <c r="Y1" s="124" t="s">
        <v>115</v>
      </c>
      <c r="Z1" s="215" t="s">
        <v>140</v>
      </c>
    </row>
    <row r="2" spans="1:26" s="139" customFormat="1" ht="13.15" customHeight="1" x14ac:dyDescent="0.2">
      <c r="A2" s="461" t="s">
        <v>113</v>
      </c>
      <c r="B2" s="461"/>
      <c r="C2" s="461"/>
      <c r="D2" s="461"/>
      <c r="E2" s="461"/>
      <c r="F2" s="461"/>
      <c r="G2" s="461"/>
      <c r="H2" s="461"/>
      <c r="I2" s="461"/>
      <c r="J2" s="461"/>
      <c r="K2" s="461"/>
      <c r="L2" s="461"/>
      <c r="M2" s="461"/>
      <c r="N2" s="136"/>
      <c r="O2" s="265"/>
      <c r="T2" s="138"/>
      <c r="U2" s="120" t="s">
        <v>12</v>
      </c>
      <c r="V2" s="125">
        <v>1</v>
      </c>
      <c r="W2" s="122" t="s">
        <v>391</v>
      </c>
      <c r="X2" s="123" t="s">
        <v>393</v>
      </c>
      <c r="Y2" s="126" t="s">
        <v>117</v>
      </c>
      <c r="Z2" s="215" t="s">
        <v>141</v>
      </c>
    </row>
    <row r="3" spans="1:26" s="139" customFormat="1" ht="16.149999999999999" customHeight="1" x14ac:dyDescent="0.2">
      <c r="A3" s="462" t="s">
        <v>276</v>
      </c>
      <c r="B3" s="462"/>
      <c r="C3" s="462"/>
      <c r="D3" s="463"/>
      <c r="E3" s="464"/>
      <c r="F3" s="464"/>
      <c r="G3" s="464"/>
      <c r="H3" s="464"/>
      <c r="I3" s="465"/>
      <c r="J3" s="466" t="s">
        <v>283</v>
      </c>
      <c r="K3" s="467"/>
      <c r="L3" s="468"/>
      <c r="M3" s="469"/>
      <c r="N3" s="136"/>
      <c r="O3" s="265"/>
      <c r="T3" s="140"/>
      <c r="U3" s="300" t="s">
        <v>11</v>
      </c>
      <c r="V3" s="125">
        <v>1.5</v>
      </c>
      <c r="W3" s="127" t="s">
        <v>26</v>
      </c>
      <c r="X3" s="123" t="s">
        <v>260</v>
      </c>
      <c r="Y3" s="126" t="s">
        <v>87</v>
      </c>
      <c r="Z3" s="215" t="s">
        <v>142</v>
      </c>
    </row>
    <row r="4" spans="1:26" s="139" customFormat="1" ht="16.149999999999999" customHeight="1" x14ac:dyDescent="0.2">
      <c r="A4" s="462" t="s">
        <v>277</v>
      </c>
      <c r="B4" s="462"/>
      <c r="C4" s="462"/>
      <c r="D4" s="463"/>
      <c r="E4" s="464"/>
      <c r="F4" s="464"/>
      <c r="G4" s="464"/>
      <c r="H4" s="464"/>
      <c r="I4" s="465"/>
      <c r="J4" s="466" t="s">
        <v>279</v>
      </c>
      <c r="K4" s="467"/>
      <c r="L4" s="478"/>
      <c r="M4" s="479"/>
      <c r="N4" s="136"/>
      <c r="O4" s="265"/>
      <c r="T4" s="140"/>
      <c r="U4" s="300" t="s">
        <v>13</v>
      </c>
      <c r="V4" s="125">
        <v>2</v>
      </c>
      <c r="W4" s="127" t="s">
        <v>100</v>
      </c>
      <c r="X4" s="123" t="s">
        <v>259</v>
      </c>
      <c r="Y4" s="126" t="s">
        <v>116</v>
      </c>
      <c r="Z4" s="215" t="s">
        <v>143</v>
      </c>
    </row>
    <row r="5" spans="1:26" s="139" customFormat="1" ht="16.149999999999999" customHeight="1" x14ac:dyDescent="0.2">
      <c r="A5" s="462" t="s">
        <v>278</v>
      </c>
      <c r="B5" s="462"/>
      <c r="C5" s="462"/>
      <c r="D5" s="480"/>
      <c r="E5" s="481"/>
      <c r="F5" s="481"/>
      <c r="G5" s="481"/>
      <c r="H5" s="481"/>
      <c r="I5" s="482"/>
      <c r="J5" s="462" t="s">
        <v>280</v>
      </c>
      <c r="K5" s="462"/>
      <c r="L5" s="483"/>
      <c r="M5" s="483"/>
      <c r="N5" s="136"/>
      <c r="O5" s="265"/>
      <c r="T5" s="140"/>
      <c r="U5" s="300" t="s">
        <v>14</v>
      </c>
      <c r="V5" s="125">
        <v>2.5</v>
      </c>
      <c r="W5" s="127" t="s">
        <v>136</v>
      </c>
      <c r="X5" s="123" t="s">
        <v>258</v>
      </c>
      <c r="Y5" s="126" t="s">
        <v>263</v>
      </c>
      <c r="Z5" s="215" t="s">
        <v>144</v>
      </c>
    </row>
    <row r="6" spans="1:26" s="139" customFormat="1" ht="16.149999999999999" customHeight="1" x14ac:dyDescent="0.2">
      <c r="A6" s="462" t="s">
        <v>308</v>
      </c>
      <c r="B6" s="462"/>
      <c r="C6" s="462"/>
      <c r="D6" s="463"/>
      <c r="E6" s="464"/>
      <c r="F6" s="464"/>
      <c r="G6" s="464"/>
      <c r="H6" s="464"/>
      <c r="I6" s="465"/>
      <c r="J6" s="472" t="s">
        <v>281</v>
      </c>
      <c r="K6" s="472"/>
      <c r="L6" s="473"/>
      <c r="M6" s="474"/>
      <c r="N6" s="136"/>
      <c r="O6" s="265"/>
      <c r="T6" s="140"/>
      <c r="U6" s="300" t="s">
        <v>15</v>
      </c>
      <c r="V6" s="125">
        <v>3</v>
      </c>
      <c r="W6" s="127" t="s">
        <v>25</v>
      </c>
      <c r="X6" s="123" t="s">
        <v>257</v>
      </c>
      <c r="Y6" s="126" t="s">
        <v>261</v>
      </c>
      <c r="Z6" s="215" t="s">
        <v>145</v>
      </c>
    </row>
    <row r="7" spans="1:26" s="139" customFormat="1" ht="16.149999999999999" customHeight="1" x14ac:dyDescent="0.2">
      <c r="A7" s="462" t="s">
        <v>309</v>
      </c>
      <c r="B7" s="462"/>
      <c r="C7" s="462"/>
      <c r="D7" s="475"/>
      <c r="E7" s="476"/>
      <c r="F7" s="476"/>
      <c r="G7" s="476"/>
      <c r="H7" s="476"/>
      <c r="I7" s="477"/>
      <c r="J7" s="466" t="s">
        <v>282</v>
      </c>
      <c r="K7" s="467"/>
      <c r="L7" s="473"/>
      <c r="M7" s="474"/>
      <c r="O7" s="265"/>
      <c r="T7" s="140"/>
      <c r="U7" s="300" t="s">
        <v>266</v>
      </c>
      <c r="V7" s="125">
        <v>3.5</v>
      </c>
      <c r="W7" s="127" t="s">
        <v>27</v>
      </c>
      <c r="X7" s="123" t="s">
        <v>47</v>
      </c>
      <c r="Y7" s="126" t="s">
        <v>264</v>
      </c>
      <c r="Z7" s="215" t="s">
        <v>146</v>
      </c>
    </row>
    <row r="8" spans="1:26" s="140" customFormat="1" ht="19.899999999999999" customHeight="1" x14ac:dyDescent="0.2">
      <c r="A8" s="259" t="s">
        <v>104</v>
      </c>
      <c r="B8" s="159"/>
      <c r="C8" s="159"/>
      <c r="D8" s="159"/>
      <c r="E8" s="159"/>
      <c r="F8" s="313" t="s">
        <v>105</v>
      </c>
      <c r="H8" s="231" t="s">
        <v>126</v>
      </c>
      <c r="J8" s="206" t="s">
        <v>103</v>
      </c>
      <c r="L8" s="489" t="s">
        <v>106</v>
      </c>
      <c r="M8" s="489"/>
      <c r="O8" s="266"/>
      <c r="T8" s="138"/>
      <c r="U8" s="214"/>
      <c r="V8" s="125">
        <v>4</v>
      </c>
      <c r="W8" s="127" t="s">
        <v>35</v>
      </c>
      <c r="X8" s="123" t="s">
        <v>10</v>
      </c>
      <c r="Y8" s="126" t="s">
        <v>265</v>
      </c>
      <c r="Z8" s="215" t="s">
        <v>147</v>
      </c>
    </row>
    <row r="9" spans="1:26" s="140" customFormat="1" ht="19.899999999999999" customHeight="1" x14ac:dyDescent="0.2">
      <c r="A9" s="259" t="s">
        <v>128</v>
      </c>
      <c r="B9" s="159"/>
      <c r="C9" s="159"/>
      <c r="D9" s="159"/>
      <c r="E9" s="313" t="s">
        <v>127</v>
      </c>
      <c r="G9" s="231" t="s">
        <v>400</v>
      </c>
      <c r="H9" s="141"/>
      <c r="I9" s="313" t="s">
        <v>125</v>
      </c>
      <c r="L9" s="490"/>
      <c r="M9" s="490"/>
      <c r="N9" s="142"/>
      <c r="O9" s="266"/>
      <c r="T9" s="138"/>
      <c r="U9" s="214"/>
      <c r="V9" s="128"/>
      <c r="W9" s="127" t="s">
        <v>1</v>
      </c>
      <c r="X9" s="123" t="s">
        <v>9</v>
      </c>
      <c r="Y9" s="126" t="s">
        <v>262</v>
      </c>
      <c r="Z9" s="215" t="s">
        <v>148</v>
      </c>
    </row>
    <row r="10" spans="1:26" s="142" customFormat="1" ht="15" customHeight="1" x14ac:dyDescent="0.2">
      <c r="A10" s="491" t="s">
        <v>8</v>
      </c>
      <c r="B10" s="491"/>
      <c r="C10" s="491"/>
      <c r="D10" s="491"/>
      <c r="E10" s="491"/>
      <c r="F10" s="491"/>
      <c r="G10" s="491"/>
      <c r="H10" s="491"/>
      <c r="I10" s="491"/>
      <c r="J10" s="491"/>
      <c r="K10" s="491"/>
      <c r="L10" s="491" t="s">
        <v>59</v>
      </c>
      <c r="M10" s="491"/>
      <c r="N10" s="143"/>
      <c r="O10" s="266"/>
      <c r="T10" s="138"/>
      <c r="U10" s="213"/>
      <c r="V10" s="129"/>
      <c r="W10" s="130"/>
      <c r="X10" s="123" t="s">
        <v>110</v>
      </c>
      <c r="Y10" s="128"/>
      <c r="Z10" s="215" t="s">
        <v>149</v>
      </c>
    </row>
    <row r="11" spans="1:26" s="143" customFormat="1" ht="26.25" customHeight="1" x14ac:dyDescent="0.2">
      <c r="A11" s="242" t="s">
        <v>267</v>
      </c>
      <c r="B11" s="492" t="s">
        <v>24</v>
      </c>
      <c r="C11" s="493"/>
      <c r="D11" s="243" t="s">
        <v>114</v>
      </c>
      <c r="E11" s="243" t="s">
        <v>102</v>
      </c>
      <c r="F11" s="244" t="s">
        <v>28</v>
      </c>
      <c r="G11" s="245" t="s">
        <v>29</v>
      </c>
      <c r="H11" s="494" t="s">
        <v>101</v>
      </c>
      <c r="I11" s="495"/>
      <c r="J11" s="246" t="s">
        <v>99</v>
      </c>
      <c r="K11" s="247" t="s">
        <v>316</v>
      </c>
      <c r="L11" s="246" t="s">
        <v>58</v>
      </c>
      <c r="M11" s="246" t="s">
        <v>101</v>
      </c>
      <c r="N11" s="144"/>
      <c r="O11" s="262"/>
      <c r="T11" s="145"/>
      <c r="U11" s="21"/>
      <c r="V11" s="130"/>
      <c r="W11" s="130"/>
      <c r="X11" s="216"/>
      <c r="Y11" s="19"/>
      <c r="Z11" s="215" t="s">
        <v>150</v>
      </c>
    </row>
    <row r="12" spans="1:26" s="144" customFormat="1" ht="15" customHeight="1" x14ac:dyDescent="0.2">
      <c r="A12" s="312"/>
      <c r="B12" s="485"/>
      <c r="C12" s="486"/>
      <c r="D12" s="447"/>
      <c r="E12" s="248"/>
      <c r="F12" s="312"/>
      <c r="G12" s="312"/>
      <c r="H12" s="487"/>
      <c r="I12" s="488"/>
      <c r="J12" s="249"/>
      <c r="K12" s="250" t="str">
        <f t="shared" ref="K12:K19" si="0">IF(AND(F12&gt;0,J12&gt;0),F12*J12," ")</f>
        <v xml:space="preserve"> </v>
      </c>
      <c r="L12" s="312"/>
      <c r="M12" s="251"/>
      <c r="N12" s="139"/>
      <c r="O12" s="267"/>
      <c r="T12" s="142"/>
      <c r="U12" s="128"/>
      <c r="V12" s="130"/>
      <c r="W12" s="130"/>
      <c r="X12" s="216"/>
      <c r="Y12" s="216"/>
      <c r="Z12" s="215" t="s">
        <v>151</v>
      </c>
    </row>
    <row r="13" spans="1:26" s="139" customFormat="1" ht="15" customHeight="1" x14ac:dyDescent="0.2">
      <c r="A13" s="312"/>
      <c r="B13" s="485"/>
      <c r="C13" s="486"/>
      <c r="D13" s="447"/>
      <c r="E13" s="248"/>
      <c r="F13" s="312"/>
      <c r="G13" s="312"/>
      <c r="H13" s="487"/>
      <c r="I13" s="488"/>
      <c r="J13" s="249"/>
      <c r="K13" s="250" t="str">
        <f t="shared" si="0"/>
        <v xml:space="preserve"> </v>
      </c>
      <c r="L13" s="312"/>
      <c r="M13" s="251"/>
      <c r="O13" s="484" t="s">
        <v>341</v>
      </c>
      <c r="P13" s="484"/>
      <c r="Q13" s="484"/>
      <c r="R13" s="484"/>
      <c r="S13" s="484"/>
      <c r="T13" s="146"/>
      <c r="U13" s="128"/>
      <c r="V13" s="130"/>
      <c r="W13" s="130"/>
      <c r="X13" s="216"/>
      <c r="Y13" s="216"/>
      <c r="Z13" s="215" t="s">
        <v>152</v>
      </c>
    </row>
    <row r="14" spans="1:26" s="139" customFormat="1" ht="15" customHeight="1" x14ac:dyDescent="0.2">
      <c r="A14" s="312"/>
      <c r="B14" s="485"/>
      <c r="C14" s="486"/>
      <c r="D14" s="447"/>
      <c r="E14" s="303"/>
      <c r="F14" s="312"/>
      <c r="G14" s="312"/>
      <c r="H14" s="487"/>
      <c r="I14" s="488"/>
      <c r="J14" s="312"/>
      <c r="K14" s="250" t="str">
        <f t="shared" si="0"/>
        <v xml:space="preserve"> </v>
      </c>
      <c r="L14" s="312"/>
      <c r="M14" s="251"/>
      <c r="O14" s="484"/>
      <c r="P14" s="484"/>
      <c r="Q14" s="484"/>
      <c r="R14" s="484"/>
      <c r="S14" s="484"/>
      <c r="T14" s="146"/>
      <c r="U14" s="21"/>
      <c r="V14" s="130"/>
      <c r="W14" s="130"/>
      <c r="X14" s="216"/>
      <c r="Y14" s="216"/>
      <c r="Z14" s="215" t="s">
        <v>153</v>
      </c>
    </row>
    <row r="15" spans="1:26" s="139" customFormat="1" ht="15" customHeight="1" x14ac:dyDescent="0.2">
      <c r="A15" s="312"/>
      <c r="B15" s="485"/>
      <c r="C15" s="486"/>
      <c r="D15" s="447"/>
      <c r="E15" s="248"/>
      <c r="F15" s="312"/>
      <c r="G15" s="312"/>
      <c r="H15" s="487"/>
      <c r="I15" s="488"/>
      <c r="J15" s="312"/>
      <c r="K15" s="250" t="str">
        <f t="shared" si="0"/>
        <v xml:space="preserve"> </v>
      </c>
      <c r="L15" s="312"/>
      <c r="M15" s="251"/>
      <c r="O15" s="484"/>
      <c r="P15" s="484"/>
      <c r="Q15" s="484"/>
      <c r="R15" s="484"/>
      <c r="S15" s="484"/>
      <c r="T15" s="146"/>
      <c r="U15" s="216"/>
      <c r="V15" s="128"/>
      <c r="W15" s="130"/>
      <c r="X15" s="216"/>
      <c r="Y15" s="216"/>
      <c r="Z15" s="215" t="s">
        <v>154</v>
      </c>
    </row>
    <row r="16" spans="1:26" s="139" customFormat="1" ht="15" customHeight="1" x14ac:dyDescent="0.2">
      <c r="A16" s="312"/>
      <c r="B16" s="485"/>
      <c r="C16" s="486"/>
      <c r="D16" s="447"/>
      <c r="E16" s="248"/>
      <c r="F16" s="312"/>
      <c r="G16" s="312"/>
      <c r="H16" s="487"/>
      <c r="I16" s="488"/>
      <c r="J16" s="312"/>
      <c r="K16" s="250" t="str">
        <f t="shared" si="0"/>
        <v xml:space="preserve"> </v>
      </c>
      <c r="L16" s="312"/>
      <c r="M16" s="251"/>
      <c r="O16" s="484"/>
      <c r="P16" s="484"/>
      <c r="Q16" s="484"/>
      <c r="R16" s="484"/>
      <c r="S16" s="484"/>
      <c r="T16" s="146"/>
      <c r="U16" s="216"/>
      <c r="V16" s="128"/>
      <c r="W16" s="130"/>
      <c r="X16" s="216"/>
      <c r="Y16" s="216"/>
      <c r="Z16" s="215" t="s">
        <v>155</v>
      </c>
    </row>
    <row r="17" spans="1:26" s="139" customFormat="1" ht="15" customHeight="1" x14ac:dyDescent="0.2">
      <c r="A17" s="312"/>
      <c r="B17" s="485"/>
      <c r="C17" s="486"/>
      <c r="D17" s="447"/>
      <c r="E17" s="248"/>
      <c r="F17" s="312"/>
      <c r="G17" s="312"/>
      <c r="H17" s="487"/>
      <c r="I17" s="488"/>
      <c r="J17" s="312"/>
      <c r="K17" s="250" t="str">
        <f t="shared" si="0"/>
        <v xml:space="preserve"> </v>
      </c>
      <c r="L17" s="312"/>
      <c r="M17" s="251"/>
      <c r="O17" s="484"/>
      <c r="P17" s="484"/>
      <c r="Q17" s="484"/>
      <c r="R17" s="484"/>
      <c r="S17" s="484"/>
      <c r="T17" s="146"/>
      <c r="U17" s="216"/>
      <c r="V17" s="128"/>
      <c r="W17" s="129"/>
      <c r="X17" s="216"/>
      <c r="Y17" s="216"/>
      <c r="Z17" s="215" t="s">
        <v>156</v>
      </c>
    </row>
    <row r="18" spans="1:26" s="139" customFormat="1" ht="15" customHeight="1" x14ac:dyDescent="0.2">
      <c r="A18" s="312"/>
      <c r="B18" s="485"/>
      <c r="C18" s="486"/>
      <c r="D18" s="447"/>
      <c r="E18" s="248"/>
      <c r="F18" s="312"/>
      <c r="G18" s="312"/>
      <c r="H18" s="487"/>
      <c r="I18" s="488"/>
      <c r="J18" s="312"/>
      <c r="K18" s="250" t="str">
        <f t="shared" si="0"/>
        <v xml:space="preserve"> </v>
      </c>
      <c r="L18" s="312"/>
      <c r="M18" s="251"/>
      <c r="O18" s="470" t="s">
        <v>340</v>
      </c>
      <c r="P18" s="470"/>
      <c r="Q18" s="470"/>
      <c r="R18" s="470"/>
      <c r="S18" s="470"/>
      <c r="T18" s="147"/>
      <c r="U18" s="216"/>
      <c r="V18" s="128"/>
      <c r="W18" s="129"/>
      <c r="X18" s="216"/>
      <c r="Y18" s="216"/>
      <c r="Z18" s="215" t="s">
        <v>157</v>
      </c>
    </row>
    <row r="19" spans="1:26" s="139" customFormat="1" ht="15" customHeight="1" x14ac:dyDescent="0.2">
      <c r="A19" s="312"/>
      <c r="B19" s="485"/>
      <c r="C19" s="486"/>
      <c r="D19" s="447"/>
      <c r="E19" s="248"/>
      <c r="F19" s="312"/>
      <c r="G19" s="312"/>
      <c r="H19" s="487"/>
      <c r="I19" s="488"/>
      <c r="J19" s="312"/>
      <c r="K19" s="250" t="str">
        <f t="shared" si="0"/>
        <v xml:space="preserve"> </v>
      </c>
      <c r="L19" s="312"/>
      <c r="M19" s="251"/>
      <c r="N19" s="148"/>
      <c r="O19" s="470"/>
      <c r="P19" s="470"/>
      <c r="Q19" s="470"/>
      <c r="R19" s="470"/>
      <c r="S19" s="470"/>
      <c r="T19" s="147"/>
      <c r="U19" s="217"/>
      <c r="V19" s="128"/>
      <c r="W19" s="129"/>
      <c r="X19" s="19"/>
      <c r="Y19" s="216"/>
      <c r="Z19" s="215" t="s">
        <v>158</v>
      </c>
    </row>
    <row r="20" spans="1:26" s="148" customFormat="1" ht="16.5" customHeight="1" x14ac:dyDescent="0.2">
      <c r="A20" s="526" t="s">
        <v>36</v>
      </c>
      <c r="B20" s="527"/>
      <c r="C20" s="528"/>
      <c r="D20" s="252"/>
      <c r="E20" s="252"/>
      <c r="F20" s="253">
        <f>SUM(F12:F19)</f>
        <v>0</v>
      </c>
      <c r="G20" s="312"/>
      <c r="H20" s="508">
        <f>((F12*H12)+(F13*H13)+(F14*H14)+(F15*H15)+(F16*H16)+(F17*H17)+(F18*H18)+(F19*H19))*12</f>
        <v>0</v>
      </c>
      <c r="I20" s="509"/>
      <c r="J20" s="254"/>
      <c r="K20" s="255">
        <f>SUM(K12:K19)</f>
        <v>0</v>
      </c>
      <c r="L20" s="256">
        <f>SUM(L12:L19)</f>
        <v>0</v>
      </c>
      <c r="M20" s="257">
        <f>((L12*M12)+(L13*M13)+(L14*M14)+(L15*M15)+(L16*M16)+(L17*M17)+(L18*M18)+(L19*M19))*12</f>
        <v>0</v>
      </c>
      <c r="N20" s="139"/>
      <c r="O20" s="510" t="s">
        <v>248</v>
      </c>
      <c r="P20" s="510"/>
      <c r="Q20" s="510"/>
      <c r="R20" s="510"/>
      <c r="S20" s="510"/>
      <c r="T20" s="208"/>
      <c r="U20" s="19"/>
      <c r="V20" s="128"/>
      <c r="W20" s="19"/>
      <c r="X20" s="216"/>
      <c r="Y20" s="19"/>
      <c r="Z20" s="215" t="s">
        <v>159</v>
      </c>
    </row>
    <row r="21" spans="1:26" s="139" customFormat="1" ht="6" customHeight="1" x14ac:dyDescent="0.2">
      <c r="A21" s="511"/>
      <c r="B21" s="511"/>
      <c r="C21" s="511"/>
      <c r="D21" s="511"/>
      <c r="E21" s="511"/>
      <c r="F21" s="511"/>
      <c r="G21" s="511"/>
      <c r="H21" s="511"/>
      <c r="I21" s="511"/>
      <c r="J21" s="511"/>
      <c r="K21" s="511"/>
      <c r="L21" s="511"/>
      <c r="M21" s="511"/>
      <c r="N21" s="144"/>
      <c r="O21" s="265"/>
      <c r="R21" s="144"/>
      <c r="S21" s="144"/>
      <c r="T21" s="142"/>
      <c r="U21" s="19"/>
      <c r="V21" s="128"/>
      <c r="W21" s="19"/>
      <c r="X21" s="216"/>
      <c r="Y21" s="216"/>
      <c r="Z21" s="215" t="s">
        <v>160</v>
      </c>
    </row>
    <row r="22" spans="1:26" s="144" customFormat="1" ht="14.45" customHeight="1" x14ac:dyDescent="0.2">
      <c r="A22" s="149"/>
      <c r="B22" s="149"/>
      <c r="C22" s="149"/>
      <c r="D22" s="491" t="s">
        <v>0</v>
      </c>
      <c r="E22" s="491"/>
      <c r="F22" s="491"/>
      <c r="G22" s="491"/>
      <c r="H22" s="491"/>
      <c r="I22" s="491"/>
      <c r="J22" s="491"/>
      <c r="K22" s="491"/>
      <c r="L22" s="512" t="s">
        <v>327</v>
      </c>
      <c r="M22" s="512"/>
      <c r="N22" s="148"/>
      <c r="O22" s="513"/>
      <c r="P22" s="513"/>
      <c r="Q22" s="513"/>
      <c r="R22" s="513"/>
      <c r="S22" s="514" t="s">
        <v>390</v>
      </c>
      <c r="T22" s="515"/>
      <c r="U22" s="129"/>
      <c r="V22" s="128"/>
      <c r="W22" s="19"/>
      <c r="X22" s="19"/>
      <c r="Y22" s="216"/>
      <c r="Z22" s="215" t="s">
        <v>161</v>
      </c>
    </row>
    <row r="23" spans="1:26" s="148" customFormat="1" ht="14.45" customHeight="1" x14ac:dyDescent="0.2">
      <c r="A23" s="516"/>
      <c r="B23" s="517"/>
      <c r="C23" s="518"/>
      <c r="D23" s="496" t="s">
        <v>258</v>
      </c>
      <c r="E23" s="497"/>
      <c r="F23" s="496" t="s">
        <v>259</v>
      </c>
      <c r="G23" s="497"/>
      <c r="H23" s="496" t="s">
        <v>260</v>
      </c>
      <c r="I23" s="497"/>
      <c r="J23" s="496" t="s">
        <v>20</v>
      </c>
      <c r="K23" s="497"/>
      <c r="L23" s="512"/>
      <c r="M23" s="512"/>
      <c r="N23" s="137"/>
      <c r="O23" s="450" t="s">
        <v>57</v>
      </c>
      <c r="P23" s="450" t="s">
        <v>55</v>
      </c>
      <c r="Q23" s="450" t="s">
        <v>56</v>
      </c>
      <c r="R23" s="450" t="s">
        <v>244</v>
      </c>
      <c r="S23" s="143"/>
      <c r="T23" s="145"/>
      <c r="U23" s="129"/>
      <c r="V23" s="129"/>
      <c r="W23" s="19"/>
      <c r="X23" s="19"/>
      <c r="Y23" s="19"/>
      <c r="Z23" s="215" t="s">
        <v>162</v>
      </c>
    </row>
    <row r="24" spans="1:26" ht="14.45" customHeight="1" x14ac:dyDescent="0.2">
      <c r="A24" s="500" t="s">
        <v>42</v>
      </c>
      <c r="B24" s="501"/>
      <c r="C24" s="501"/>
      <c r="D24" s="519"/>
      <c r="E24" s="520"/>
      <c r="F24" s="521"/>
      <c r="G24" s="522"/>
      <c r="H24" s="523"/>
      <c r="I24" s="523"/>
      <c r="J24" s="524"/>
      <c r="K24" s="525"/>
      <c r="L24" s="512"/>
      <c r="M24" s="512"/>
      <c r="O24" s="457" t="e">
        <f>VLOOKUP($O$22,IREMEx!$A$1:$BC$20,9,FALSE)</f>
        <v>#N/A</v>
      </c>
      <c r="P24" s="457" t="e">
        <f>VLOOKUP($O$22,IREMEx!$A$1:$BC$20,10,FALSE)</f>
        <v>#N/A</v>
      </c>
      <c r="Q24" s="457" t="e">
        <f>VLOOKUP($O$22,IREMEx!$A$1:$BC$20,11,FALSE)</f>
        <v>#N/A</v>
      </c>
      <c r="R24" s="454" t="e">
        <f>VLOOKUP($O$22,IREMEx!$A$1:$BC$20,12,FALSE)</f>
        <v>#N/A</v>
      </c>
      <c r="S24" s="498" t="s">
        <v>42</v>
      </c>
      <c r="T24" s="499"/>
      <c r="U24" s="499"/>
      <c r="V24" s="129"/>
      <c r="W24" s="218"/>
      <c r="Z24" s="215" t="s">
        <v>163</v>
      </c>
    </row>
    <row r="25" spans="1:26" ht="14.45" customHeight="1" x14ac:dyDescent="0.2">
      <c r="A25" s="500" t="s">
        <v>60</v>
      </c>
      <c r="B25" s="501"/>
      <c r="C25" s="501"/>
      <c r="D25" s="502"/>
      <c r="E25" s="503"/>
      <c r="F25" s="504"/>
      <c r="G25" s="505"/>
      <c r="H25" s="506"/>
      <c r="I25" s="507"/>
      <c r="J25" s="508" t="str">
        <f>IF(AND(M20&gt;0),M20," ")</f>
        <v xml:space="preserve"> </v>
      </c>
      <c r="K25" s="509"/>
      <c r="L25" s="512"/>
      <c r="M25" s="512"/>
      <c r="O25" s="457" t="e">
        <f>VLOOKUP($O$22,IREMEx!$A$1:$BC$20,17,FALSE)</f>
        <v>#N/A</v>
      </c>
      <c r="P25" s="457" t="e">
        <f>VLOOKUP($O$22,IREMEx!$A$1:$BC$20,18,FALSE)</f>
        <v>#N/A</v>
      </c>
      <c r="Q25" s="457" t="e">
        <f>VLOOKUP($O$22,IREMEx!$A$1:$BC$20,19,FALSE)</f>
        <v>#N/A</v>
      </c>
      <c r="R25" s="454" t="e">
        <f>VLOOKUP($O$22,IREMEx!$A$1:$BC$20,20,FALSE)</f>
        <v>#N/A</v>
      </c>
      <c r="S25" s="498" t="s">
        <v>60</v>
      </c>
      <c r="T25" s="499"/>
      <c r="U25" s="499"/>
      <c r="V25" s="129"/>
      <c r="Z25" s="215" t="s">
        <v>164</v>
      </c>
    </row>
    <row r="26" spans="1:26" ht="14.45" customHeight="1" thickBot="1" x14ac:dyDescent="0.25">
      <c r="A26" s="541" t="s">
        <v>61</v>
      </c>
      <c r="B26" s="542"/>
      <c r="C26" s="542"/>
      <c r="D26" s="543"/>
      <c r="E26" s="544"/>
      <c r="F26" s="543"/>
      <c r="G26" s="544"/>
      <c r="H26" s="545"/>
      <c r="I26" s="545"/>
      <c r="J26" s="546"/>
      <c r="K26" s="547"/>
      <c r="L26" s="512"/>
      <c r="M26" s="512"/>
      <c r="O26" s="457" t="e">
        <f>VLOOKUP($O$22,IREMEx!$A$1:$BC$20,13,FALSE)</f>
        <v>#N/A</v>
      </c>
      <c r="P26" s="457" t="e">
        <f>VLOOKUP($O$22,IREMEx!$A$1:$BC$20,14,FALSE)</f>
        <v>#N/A</v>
      </c>
      <c r="Q26" s="457" t="e">
        <f>VLOOKUP($O$22,IREMEx!$A$1:$BC$20,15,FALSE)</f>
        <v>#N/A</v>
      </c>
      <c r="R26" s="454" t="e">
        <f>VLOOKUP($O$22,IREMEx!$A$1:$BC$20,16,FALSE)</f>
        <v>#N/A</v>
      </c>
      <c r="S26" s="498" t="s">
        <v>48</v>
      </c>
      <c r="T26" s="499"/>
      <c r="U26" s="499"/>
      <c r="V26" s="129"/>
      <c r="W26" s="134"/>
      <c r="Z26" s="215" t="s">
        <v>165</v>
      </c>
    </row>
    <row r="27" spans="1:26" ht="15" customHeight="1" x14ac:dyDescent="0.2">
      <c r="A27" s="532" t="s">
        <v>3</v>
      </c>
      <c r="B27" s="533"/>
      <c r="C27" s="533"/>
      <c r="D27" s="534">
        <f>SUM(D24:D26)</f>
        <v>0</v>
      </c>
      <c r="E27" s="535"/>
      <c r="F27" s="534">
        <f t="shared" ref="F27" si="1">SUM(F24:F26)</f>
        <v>0</v>
      </c>
      <c r="G27" s="535"/>
      <c r="H27" s="534">
        <f t="shared" ref="H27" si="2">SUM(H24:H26)</f>
        <v>0</v>
      </c>
      <c r="I27" s="535"/>
      <c r="J27" s="536">
        <f t="shared" ref="J27" si="3">SUM(J24:J26)</f>
        <v>0</v>
      </c>
      <c r="K27" s="537"/>
      <c r="L27" s="512"/>
      <c r="M27" s="512"/>
      <c r="U27" s="210"/>
      <c r="W27" s="19"/>
      <c r="Z27" s="215" t="s">
        <v>166</v>
      </c>
    </row>
    <row r="28" spans="1:26" ht="6" customHeight="1" x14ac:dyDescent="0.2">
      <c r="A28" s="538"/>
      <c r="B28" s="538"/>
      <c r="C28" s="538"/>
      <c r="D28" s="538"/>
      <c r="E28" s="538"/>
      <c r="F28" s="538"/>
      <c r="G28" s="538"/>
      <c r="H28" s="538"/>
      <c r="I28" s="538"/>
      <c r="J28" s="538"/>
      <c r="K28" s="538"/>
      <c r="L28" s="539"/>
      <c r="M28" s="540"/>
      <c r="N28" s="143"/>
      <c r="U28" s="1"/>
      <c r="V28" s="4"/>
      <c r="W28" s="19"/>
      <c r="Z28" s="215" t="s">
        <v>167</v>
      </c>
    </row>
    <row r="29" spans="1:26" s="143" customFormat="1" ht="15" customHeight="1" x14ac:dyDescent="0.2">
      <c r="A29" s="209"/>
      <c r="B29" s="209"/>
      <c r="C29" s="209"/>
      <c r="D29" s="529" t="s">
        <v>46</v>
      </c>
      <c r="E29" s="530"/>
      <c r="F29" s="530"/>
      <c r="G29" s="530"/>
      <c r="H29" s="530"/>
      <c r="I29" s="530"/>
      <c r="J29" s="530"/>
      <c r="K29" s="531"/>
      <c r="L29" s="205" t="s">
        <v>97</v>
      </c>
      <c r="M29" s="150"/>
      <c r="N29" s="148"/>
      <c r="O29" s="450" t="s">
        <v>57</v>
      </c>
      <c r="P29" s="450" t="s">
        <v>55</v>
      </c>
      <c r="Q29" s="450" t="s">
        <v>56</v>
      </c>
      <c r="R29" s="450" t="s">
        <v>244</v>
      </c>
      <c r="T29" s="145"/>
      <c r="U29" s="131"/>
      <c r="V29" s="129"/>
      <c r="W29" s="219"/>
      <c r="X29" s="19"/>
      <c r="Y29" s="19"/>
      <c r="Z29" s="215" t="s">
        <v>168</v>
      </c>
    </row>
    <row r="30" spans="1:26" s="148" customFormat="1" ht="14.65" customHeight="1" x14ac:dyDescent="0.2">
      <c r="A30" s="500" t="s">
        <v>43</v>
      </c>
      <c r="B30" s="501"/>
      <c r="C30" s="501"/>
      <c r="D30" s="506"/>
      <c r="E30" s="507"/>
      <c r="F30" s="506"/>
      <c r="G30" s="507"/>
      <c r="H30" s="506"/>
      <c r="I30" s="507"/>
      <c r="J30" s="524"/>
      <c r="K30" s="525"/>
      <c r="L30" s="239" t="str">
        <f>IF(AND(J30&gt;0,$J$27&gt;0),J30/$J$27," ")</f>
        <v xml:space="preserve"> </v>
      </c>
      <c r="M30" s="151"/>
      <c r="O30" s="453" t="e">
        <f>VLOOKUP($O$22,IREMEx!$A$1:$BC$20,21,FALSE)</f>
        <v>#N/A</v>
      </c>
      <c r="P30" s="453" t="e">
        <f>VLOOKUP($O$22,IREMEx!$A$1:$BC$20,22,FALSE)</f>
        <v>#N/A</v>
      </c>
      <c r="Q30" s="453" t="e">
        <f>VLOOKUP($O$22,IREMEx!$A$1:$BC$20,23,FALSE)</f>
        <v>#N/A</v>
      </c>
      <c r="R30" s="458" t="e">
        <f>VLOOKUP($O$22,IREMEx!$A$1:$BC$20,24,FALSE)</f>
        <v>#N/A</v>
      </c>
      <c r="S30" s="148" t="s">
        <v>342</v>
      </c>
      <c r="T30" s="152"/>
      <c r="U30" s="131"/>
      <c r="V30" s="129"/>
      <c r="W30" s="19"/>
      <c r="X30" s="19"/>
      <c r="Y30" s="19"/>
      <c r="Z30" s="215" t="s">
        <v>169</v>
      </c>
    </row>
    <row r="31" spans="1:26" s="148" customFormat="1" ht="14.65" customHeight="1" x14ac:dyDescent="0.2">
      <c r="A31" s="500" t="s">
        <v>45</v>
      </c>
      <c r="B31" s="501"/>
      <c r="C31" s="501"/>
      <c r="D31" s="506"/>
      <c r="E31" s="507"/>
      <c r="F31" s="506"/>
      <c r="G31" s="507"/>
      <c r="H31" s="506"/>
      <c r="I31" s="507"/>
      <c r="J31" s="524"/>
      <c r="K31" s="525"/>
      <c r="L31" s="239" t="str">
        <f t="shared" ref="L31:L34" si="4">IF(AND(J31&gt;0,$J$27&gt;0),J31/$J$27," ")</f>
        <v xml:space="preserve"> </v>
      </c>
      <c r="M31" s="151"/>
      <c r="O31" s="268"/>
      <c r="P31" s="153"/>
      <c r="Q31" s="153"/>
      <c r="T31" s="152"/>
      <c r="U31" s="131"/>
      <c r="V31" s="129"/>
      <c r="W31" s="216"/>
      <c r="X31" s="19"/>
      <c r="Y31" s="19"/>
      <c r="Z31" s="215" t="s">
        <v>170</v>
      </c>
    </row>
    <row r="32" spans="1:26" s="148" customFormat="1" ht="14.65" customHeight="1" x14ac:dyDescent="0.2">
      <c r="A32" s="500" t="s">
        <v>1</v>
      </c>
      <c r="B32" s="501"/>
      <c r="C32" s="501"/>
      <c r="D32" s="506"/>
      <c r="E32" s="507"/>
      <c r="F32" s="506"/>
      <c r="G32" s="507"/>
      <c r="H32" s="506"/>
      <c r="I32" s="507"/>
      <c r="J32" s="524"/>
      <c r="K32" s="525"/>
      <c r="L32" s="239" t="str">
        <f t="shared" si="4"/>
        <v xml:space="preserve"> </v>
      </c>
      <c r="M32" s="151"/>
      <c r="O32" s="268"/>
      <c r="P32" s="153"/>
      <c r="Q32" s="153"/>
      <c r="T32" s="152"/>
      <c r="U32" s="133"/>
      <c r="V32" s="220"/>
      <c r="W32" s="130"/>
      <c r="X32" s="19"/>
      <c r="Y32" s="19"/>
      <c r="Z32" s="215" t="s">
        <v>171</v>
      </c>
    </row>
    <row r="33" spans="1:227" s="148" customFormat="1" ht="14.65" customHeight="1" thickBot="1" x14ac:dyDescent="0.25">
      <c r="A33" s="548" t="s">
        <v>46</v>
      </c>
      <c r="B33" s="549"/>
      <c r="C33" s="549"/>
      <c r="D33" s="550">
        <f>SUM(D30:D32)</f>
        <v>0</v>
      </c>
      <c r="E33" s="551"/>
      <c r="F33" s="550">
        <f>SUM(F30:F32)</f>
        <v>0</v>
      </c>
      <c r="G33" s="551"/>
      <c r="H33" s="550">
        <f>SUM(H30:H32)</f>
        <v>0</v>
      </c>
      <c r="I33" s="551"/>
      <c r="J33" s="550">
        <f>SUM(J30:J32)</f>
        <v>0</v>
      </c>
      <c r="K33" s="551"/>
      <c r="L33" s="240" t="str">
        <f t="shared" si="4"/>
        <v xml:space="preserve"> </v>
      </c>
      <c r="M33" s="151"/>
      <c r="N33" s="154"/>
      <c r="O33" s="268"/>
      <c r="P33" s="153"/>
      <c r="Q33" s="153"/>
      <c r="T33" s="152"/>
      <c r="U33" s="212"/>
      <c r="V33" s="221"/>
      <c r="W33" s="216"/>
      <c r="X33" s="222"/>
      <c r="Y33" s="19"/>
      <c r="Z33" s="215" t="s">
        <v>172</v>
      </c>
    </row>
    <row r="34" spans="1:227" ht="14.65" customHeight="1" x14ac:dyDescent="0.2">
      <c r="A34" s="532" t="s">
        <v>2</v>
      </c>
      <c r="B34" s="533"/>
      <c r="C34" s="533"/>
      <c r="D34" s="534">
        <f>D27-D33</f>
        <v>0</v>
      </c>
      <c r="E34" s="535"/>
      <c r="F34" s="534">
        <f t="shared" ref="F34" si="5">F27-F33</f>
        <v>0</v>
      </c>
      <c r="G34" s="535"/>
      <c r="H34" s="534">
        <f t="shared" ref="H34" si="6">H27-H33</f>
        <v>0</v>
      </c>
      <c r="I34" s="535"/>
      <c r="J34" s="536">
        <f>J27-J33</f>
        <v>0</v>
      </c>
      <c r="K34" s="537"/>
      <c r="L34" s="241" t="str">
        <f t="shared" si="4"/>
        <v xml:space="preserve"> </v>
      </c>
      <c r="M34" s="151"/>
      <c r="O34" s="556" t="s">
        <v>314</v>
      </c>
      <c r="P34" s="556"/>
      <c r="Q34" s="556"/>
      <c r="R34" s="556"/>
      <c r="U34" s="210"/>
      <c r="V34" s="216"/>
      <c r="W34" s="19"/>
      <c r="Y34" s="222"/>
      <c r="Z34" s="215" t="s">
        <v>173</v>
      </c>
      <c r="HR34" s="156"/>
    </row>
    <row r="35" spans="1:227" ht="6" customHeight="1" x14ac:dyDescent="0.2">
      <c r="A35" s="557"/>
      <c r="B35" s="557"/>
      <c r="C35" s="557"/>
      <c r="D35" s="557"/>
      <c r="E35" s="557"/>
      <c r="F35" s="558"/>
      <c r="G35" s="558"/>
      <c r="H35" s="558"/>
      <c r="I35" s="558"/>
      <c r="J35" s="558"/>
      <c r="K35" s="558"/>
      <c r="L35" s="557"/>
      <c r="M35" s="559"/>
      <c r="N35" s="144"/>
      <c r="O35" s="268"/>
      <c r="P35" s="153"/>
      <c r="Q35" s="153"/>
      <c r="U35" s="132"/>
      <c r="V35" s="129"/>
      <c r="W35" s="219"/>
      <c r="X35" s="216"/>
      <c r="Z35" s="215" t="s">
        <v>174</v>
      </c>
      <c r="HS35" s="156"/>
    </row>
    <row r="36" spans="1:227" s="144" customFormat="1" ht="14.65" customHeight="1" x14ac:dyDescent="0.2">
      <c r="A36" s="149"/>
      <c r="B36" s="149"/>
      <c r="C36" s="149"/>
      <c r="D36" s="560" t="s">
        <v>17</v>
      </c>
      <c r="E36" s="560"/>
      <c r="F36" s="560"/>
      <c r="G36" s="560"/>
      <c r="H36" s="560"/>
      <c r="I36" s="560"/>
      <c r="J36" s="560"/>
      <c r="K36" s="560"/>
      <c r="L36" s="205" t="s">
        <v>96</v>
      </c>
      <c r="M36" s="150"/>
      <c r="N36" s="157"/>
      <c r="O36" s="450" t="s">
        <v>57</v>
      </c>
      <c r="P36" s="450" t="s">
        <v>55</v>
      </c>
      <c r="Q36" s="450" t="s">
        <v>56</v>
      </c>
      <c r="R36" s="450" t="s">
        <v>244</v>
      </c>
      <c r="T36" s="142"/>
      <c r="U36" s="210"/>
      <c r="V36" s="19"/>
      <c r="W36" s="19"/>
      <c r="X36" s="216"/>
      <c r="Y36" s="216"/>
      <c r="Z36" s="215" t="s">
        <v>175</v>
      </c>
    </row>
    <row r="37" spans="1:227" s="157" customFormat="1" ht="14.65" customHeight="1" x14ac:dyDescent="0.2">
      <c r="A37" s="500" t="s">
        <v>6</v>
      </c>
      <c r="B37" s="501"/>
      <c r="C37" s="501"/>
      <c r="D37" s="552"/>
      <c r="E37" s="553"/>
      <c r="F37" s="552"/>
      <c r="G37" s="553"/>
      <c r="H37" s="552"/>
      <c r="I37" s="553"/>
      <c r="J37" s="554"/>
      <c r="K37" s="555"/>
      <c r="L37" s="2" t="str">
        <f>IF(AND(J37&gt;0,$J$34&gt;0),J37/$J$34," ")</f>
        <v xml:space="preserve"> </v>
      </c>
      <c r="M37" s="158"/>
      <c r="N37" s="148"/>
      <c r="O37" s="453" t="e">
        <f>VLOOKUP($O$22,IREMEx!$A$1:$BC$20,25,FALSE)</f>
        <v>#N/A</v>
      </c>
      <c r="P37" s="453" t="e">
        <f>VLOOKUP($O$22,IREMEx!$A$1:$BC$20,26,FALSE)</f>
        <v>#N/A</v>
      </c>
      <c r="Q37" s="453" t="e">
        <f>VLOOKUP($O$22,IREMEx!$A$1:$BC$20,27,FALSE)</f>
        <v>#N/A</v>
      </c>
      <c r="R37" s="454" t="e">
        <f>VLOOKUP($O$22,IREMEx!$A$1:$BC$20,28,FALSE)</f>
        <v>#N/A</v>
      </c>
      <c r="S37" s="498" t="s">
        <v>6</v>
      </c>
      <c r="T37" s="499"/>
      <c r="U37" s="499"/>
      <c r="V37" s="19"/>
      <c r="W37" s="19"/>
      <c r="X37" s="19"/>
      <c r="Y37" s="216"/>
      <c r="Z37" s="215" t="s">
        <v>176</v>
      </c>
    </row>
    <row r="38" spans="1:227" s="148" customFormat="1" ht="14.65" customHeight="1" x14ac:dyDescent="0.2">
      <c r="A38" s="500" t="s">
        <v>112</v>
      </c>
      <c r="B38" s="501"/>
      <c r="C38" s="501"/>
      <c r="D38" s="552"/>
      <c r="E38" s="553"/>
      <c r="F38" s="552"/>
      <c r="G38" s="553"/>
      <c r="H38" s="552"/>
      <c r="I38" s="553"/>
      <c r="J38" s="554"/>
      <c r="K38" s="555"/>
      <c r="L38" s="2" t="str">
        <f t="shared" ref="L38:L43" si="7">IF(AND(J38&gt;0,$J$34&gt;0),J38/$J$34," ")</f>
        <v xml:space="preserve"> </v>
      </c>
      <c r="M38" s="158"/>
      <c r="O38" s="453" t="e">
        <f>VLOOKUP($O$22,IREMEx!$A$1:$BC$20,29,FALSE)</f>
        <v>#N/A</v>
      </c>
      <c r="P38" s="453" t="e">
        <f>VLOOKUP($O$22,IREMEx!$A$1:$BC$20,30,FALSE)</f>
        <v>#N/A</v>
      </c>
      <c r="Q38" s="453" t="e">
        <f>VLOOKUP($O$22,IREMEx!$A$1:$BC$20,31,FALSE)</f>
        <v>#N/A</v>
      </c>
      <c r="R38" s="454" t="e">
        <f>VLOOKUP($O$22,IREMEx!$A$1:$BC$20,32,FALSE)</f>
        <v>#N/A</v>
      </c>
      <c r="S38" s="498" t="s">
        <v>269</v>
      </c>
      <c r="T38" s="499"/>
      <c r="U38" s="499"/>
      <c r="V38" s="19"/>
      <c r="W38" s="19"/>
      <c r="X38" s="19"/>
      <c r="Y38" s="19"/>
      <c r="Z38" s="215" t="s">
        <v>177</v>
      </c>
    </row>
    <row r="39" spans="1:227" s="148" customFormat="1" ht="14.65" customHeight="1" x14ac:dyDescent="0.2">
      <c r="A39" s="500" t="s">
        <v>111</v>
      </c>
      <c r="B39" s="501"/>
      <c r="C39" s="501"/>
      <c r="D39" s="552"/>
      <c r="E39" s="553"/>
      <c r="F39" s="552"/>
      <c r="G39" s="553"/>
      <c r="H39" s="552"/>
      <c r="I39" s="553"/>
      <c r="J39" s="554"/>
      <c r="K39" s="555"/>
      <c r="L39" s="2" t="str">
        <f t="shared" si="7"/>
        <v xml:space="preserve"> </v>
      </c>
      <c r="M39" s="158"/>
      <c r="O39" s="453" t="e">
        <f>VLOOKUP($O$22,IREMEx!$A$1:$BC$20,33,FALSE)</f>
        <v>#N/A</v>
      </c>
      <c r="P39" s="453" t="e">
        <f>VLOOKUP($O$22,IREMEx!$A$1:$BC$20,34,FALSE)</f>
        <v>#N/A</v>
      </c>
      <c r="Q39" s="453" t="e">
        <f>VLOOKUP($O$22,IREMEx!$A$1:$BC$20,35,FALSE)</f>
        <v>#N/A</v>
      </c>
      <c r="R39" s="454" t="e">
        <f>VLOOKUP($O$22,IREMEx!$A$1:$BC$20,36,FALSE)</f>
        <v>#N/A</v>
      </c>
      <c r="S39" s="498" t="s">
        <v>270</v>
      </c>
      <c r="T39" s="499"/>
      <c r="U39" s="499"/>
      <c r="V39" s="19"/>
      <c r="W39" s="19"/>
      <c r="X39" s="19"/>
      <c r="Y39" s="19"/>
      <c r="Z39" s="215" t="s">
        <v>178</v>
      </c>
    </row>
    <row r="40" spans="1:227" s="148" customFormat="1" ht="14.65" customHeight="1" x14ac:dyDescent="0.2">
      <c r="A40" s="500" t="s">
        <v>4</v>
      </c>
      <c r="B40" s="501"/>
      <c r="C40" s="501"/>
      <c r="D40" s="552"/>
      <c r="E40" s="553"/>
      <c r="F40" s="552"/>
      <c r="G40" s="553"/>
      <c r="H40" s="552"/>
      <c r="I40" s="553"/>
      <c r="J40" s="554"/>
      <c r="K40" s="555"/>
      <c r="L40" s="2" t="str">
        <f t="shared" si="7"/>
        <v xml:space="preserve"> </v>
      </c>
      <c r="M40" s="158"/>
      <c r="O40" s="453" t="e">
        <f>VLOOKUP($O$22,IREMEx!$A$1:$BC$20,37,FALSE)</f>
        <v>#N/A</v>
      </c>
      <c r="P40" s="453" t="e">
        <f>VLOOKUP($O$22,IREMEx!$A$1:$BC$20,38,FALSE)</f>
        <v>#N/A</v>
      </c>
      <c r="Q40" s="453" t="e">
        <f>VLOOKUP($O$22,IREMEx!$A$1:$BC$20,39,FALSE)</f>
        <v>#N/A</v>
      </c>
      <c r="R40" s="454" t="e">
        <f>VLOOKUP($O$22,IREMEx!$A$1:$BC$20,43,FALSE)</f>
        <v>#N/A</v>
      </c>
      <c r="S40" s="498" t="s">
        <v>4</v>
      </c>
      <c r="T40" s="499"/>
      <c r="U40" s="499"/>
      <c r="V40" s="19"/>
      <c r="W40" s="223"/>
      <c r="X40" s="19"/>
      <c r="Y40" s="19"/>
      <c r="Z40" s="215" t="s">
        <v>179</v>
      </c>
    </row>
    <row r="41" spans="1:227" s="148" customFormat="1" ht="14.65" customHeight="1" x14ac:dyDescent="0.2">
      <c r="A41" s="500" t="s">
        <v>273</v>
      </c>
      <c r="B41" s="501"/>
      <c r="C41" s="501"/>
      <c r="D41" s="561"/>
      <c r="E41" s="562"/>
      <c r="F41" s="561"/>
      <c r="G41" s="562"/>
      <c r="H41" s="552"/>
      <c r="I41" s="553"/>
      <c r="J41" s="554"/>
      <c r="K41" s="555"/>
      <c r="L41" s="2" t="str">
        <f t="shared" si="7"/>
        <v xml:space="preserve"> </v>
      </c>
      <c r="M41" s="158"/>
      <c r="O41" s="453" t="e">
        <f>VLOOKUP($O$22,IREMEx!$A$1:$BC$20,44,FALSE)</f>
        <v>#N/A</v>
      </c>
      <c r="P41" s="453" t="e">
        <f>VLOOKUP($O$22,IREMEx!$A$1:$BC$20,45,FALSE)</f>
        <v>#N/A</v>
      </c>
      <c r="Q41" s="453" t="e">
        <f>VLOOKUP($O$22,IREMEx!$A$1:$BC$20,46,FALSE)</f>
        <v>#N/A</v>
      </c>
      <c r="R41" s="454" t="e">
        <f>VLOOKUP($O$22,IREMEx!$A$1:$BC$20,47,FALSE)</f>
        <v>#N/A</v>
      </c>
      <c r="S41" s="498" t="s">
        <v>273</v>
      </c>
      <c r="T41" s="499"/>
      <c r="U41" s="499"/>
      <c r="V41" s="19"/>
      <c r="W41" s="219"/>
      <c r="X41" s="19"/>
      <c r="Y41" s="19"/>
      <c r="Z41" s="215" t="s">
        <v>180</v>
      </c>
    </row>
    <row r="42" spans="1:227" s="148" customFormat="1" ht="14.65" customHeight="1" x14ac:dyDescent="0.2">
      <c r="A42" s="500" t="s">
        <v>37</v>
      </c>
      <c r="B42" s="501"/>
      <c r="C42" s="501"/>
      <c r="D42" s="561"/>
      <c r="E42" s="562"/>
      <c r="F42" s="561"/>
      <c r="G42" s="562"/>
      <c r="H42" s="552"/>
      <c r="I42" s="553"/>
      <c r="J42" s="554"/>
      <c r="K42" s="555"/>
      <c r="L42" s="2" t="str">
        <f t="shared" si="7"/>
        <v xml:space="preserve"> </v>
      </c>
      <c r="M42" s="158"/>
      <c r="N42" s="161"/>
      <c r="O42" s="453" t="e">
        <f>VLOOKUP($O$22,IREMEx!$A$1:$BC$20,48,FALSE)</f>
        <v>#N/A</v>
      </c>
      <c r="P42" s="453" t="e">
        <f>VLOOKUP($O$22,IREMEx!$A$1:$BC$20,49,FALSE)</f>
        <v>#N/A</v>
      </c>
      <c r="Q42" s="453" t="e">
        <f>VLOOKUP($O$22,IREMEx!$A$1:$BC$20,50,FALSE)</f>
        <v>#N/A</v>
      </c>
      <c r="R42" s="454" t="e">
        <f>VLOOKUP($O$22,IREMEx!$A$1:$BC$20,51,FALSE)</f>
        <v>#N/A</v>
      </c>
      <c r="S42" s="498" t="s">
        <v>37</v>
      </c>
      <c r="T42" s="499"/>
      <c r="U42" s="499"/>
      <c r="V42" s="223"/>
      <c r="W42" s="219"/>
      <c r="X42" s="223"/>
      <c r="Y42" s="19"/>
      <c r="Z42" s="224" t="s">
        <v>181</v>
      </c>
    </row>
    <row r="43" spans="1:227" s="148" customFormat="1" ht="14.65" customHeight="1" thickBot="1" x14ac:dyDescent="0.25">
      <c r="A43" s="500" t="s">
        <v>22</v>
      </c>
      <c r="B43" s="501"/>
      <c r="C43" s="564"/>
      <c r="D43" s="565"/>
      <c r="E43" s="566"/>
      <c r="F43" s="565"/>
      <c r="G43" s="567"/>
      <c r="H43" s="565"/>
      <c r="I43" s="566"/>
      <c r="J43" s="568"/>
      <c r="K43" s="569"/>
      <c r="L43" s="2" t="str">
        <f t="shared" si="7"/>
        <v xml:space="preserve"> </v>
      </c>
      <c r="M43" s="160"/>
      <c r="N43" s="162"/>
      <c r="O43" s="455" t="e">
        <f>SUM(O37:O42)</f>
        <v>#N/A</v>
      </c>
      <c r="P43" s="455" t="e">
        <f t="shared" ref="P43:R43" si="8">SUM(P37:P42)</f>
        <v>#N/A</v>
      </c>
      <c r="Q43" s="455" t="e">
        <f t="shared" si="8"/>
        <v>#N/A</v>
      </c>
      <c r="R43" s="456" t="e">
        <f t="shared" si="8"/>
        <v>#N/A</v>
      </c>
      <c r="T43" s="152"/>
      <c r="U43" s="19"/>
      <c r="V43" s="19"/>
      <c r="W43" s="219"/>
      <c r="X43" s="225"/>
      <c r="Y43" s="223"/>
      <c r="Z43" s="215" t="s">
        <v>182</v>
      </c>
    </row>
    <row r="44" spans="1:227" s="148" customFormat="1" ht="14.65" customHeight="1" x14ac:dyDescent="0.2">
      <c r="A44" s="570" t="s">
        <v>301</v>
      </c>
      <c r="B44" s="571"/>
      <c r="C44" s="571"/>
      <c r="D44" s="536">
        <f>SUM(D37:D43)</f>
        <v>0</v>
      </c>
      <c r="E44" s="537"/>
      <c r="F44" s="536">
        <f>SUM(F37:F43)</f>
        <v>0</v>
      </c>
      <c r="G44" s="537"/>
      <c r="H44" s="536">
        <f>SUM(H37:H43)</f>
        <v>0</v>
      </c>
      <c r="I44" s="537"/>
      <c r="J44" s="536">
        <f>SUM(J37:J43)</f>
        <v>0</v>
      </c>
      <c r="K44" s="537"/>
      <c r="L44" s="311" t="str">
        <f>IF(AND(J44&gt;0,$J$34&gt;0),J44/$J$34," ")</f>
        <v xml:space="preserve"> </v>
      </c>
      <c r="M44" s="160"/>
      <c r="N44" s="162"/>
      <c r="O44" s="269"/>
      <c r="P44" s="163"/>
      <c r="Q44" s="163"/>
      <c r="T44" s="152"/>
      <c r="U44" s="19"/>
      <c r="V44" s="19"/>
      <c r="W44" s="19"/>
      <c r="X44" s="226"/>
      <c r="Y44" s="225"/>
      <c r="Z44" s="215" t="s">
        <v>183</v>
      </c>
    </row>
    <row r="45" spans="1:227" s="148" customFormat="1" ht="14.65" customHeight="1" x14ac:dyDescent="0.2">
      <c r="A45" s="526" t="s">
        <v>302</v>
      </c>
      <c r="B45" s="527"/>
      <c r="C45" s="528"/>
      <c r="D45" s="448"/>
      <c r="E45" s="309" t="str">
        <f>IF(D44&gt;0,D44/D34,"")</f>
        <v/>
      </c>
      <c r="F45" s="310"/>
      <c r="G45" s="309" t="str">
        <f>IF(F44&gt;0,F44/F34,"")</f>
        <v/>
      </c>
      <c r="H45" s="310"/>
      <c r="I45" s="309" t="str">
        <f>IF(H44&gt;0,H44/H34,"")</f>
        <v/>
      </c>
      <c r="J45" s="310"/>
      <c r="K45" s="309" t="str">
        <f>IF(J44&gt;0,J44/J34,"")</f>
        <v/>
      </c>
      <c r="L45" s="305" t="s">
        <v>310</v>
      </c>
      <c r="M45" s="306"/>
      <c r="O45" s="563" t="s">
        <v>256</v>
      </c>
      <c r="P45" s="563"/>
      <c r="Q45" s="563"/>
      <c r="R45" s="563"/>
      <c r="T45" s="152"/>
      <c r="U45" s="19"/>
      <c r="V45" s="19"/>
      <c r="W45" s="19"/>
      <c r="X45" s="19"/>
      <c r="Y45" s="226"/>
      <c r="Z45" s="215" t="s">
        <v>184</v>
      </c>
    </row>
    <row r="46" spans="1:227" s="148" customFormat="1" ht="14.65" customHeight="1" x14ac:dyDescent="0.2">
      <c r="A46" s="500" t="s">
        <v>303</v>
      </c>
      <c r="B46" s="501"/>
      <c r="C46" s="564"/>
      <c r="D46" s="506"/>
      <c r="E46" s="507"/>
      <c r="F46" s="506"/>
      <c r="G46" s="518"/>
      <c r="H46" s="506"/>
      <c r="I46" s="507"/>
      <c r="J46" s="524"/>
      <c r="K46" s="525"/>
      <c r="L46" s="307" t="s">
        <v>311</v>
      </c>
      <c r="M46" s="302"/>
      <c r="O46" s="563"/>
      <c r="P46" s="563"/>
      <c r="Q46" s="563"/>
      <c r="R46" s="563"/>
      <c r="T46" s="152"/>
      <c r="U46" s="19"/>
      <c r="V46" s="19"/>
      <c r="W46" s="19"/>
      <c r="X46" s="19"/>
      <c r="Y46" s="19"/>
      <c r="Z46" s="215" t="s">
        <v>185</v>
      </c>
    </row>
    <row r="47" spans="1:227" s="148" customFormat="1" ht="14.65" customHeight="1" x14ac:dyDescent="0.2">
      <c r="A47" s="526" t="s">
        <v>304</v>
      </c>
      <c r="B47" s="527"/>
      <c r="C47" s="528"/>
      <c r="D47" s="534">
        <f>D44+D46</f>
        <v>0</v>
      </c>
      <c r="E47" s="535"/>
      <c r="F47" s="534">
        <f>F44+F46</f>
        <v>0</v>
      </c>
      <c r="G47" s="535"/>
      <c r="H47" s="534">
        <f>H44+H46</f>
        <v>0</v>
      </c>
      <c r="I47" s="535"/>
      <c r="J47" s="534">
        <f>J44+J46</f>
        <v>0</v>
      </c>
      <c r="K47" s="535"/>
      <c r="L47" s="237"/>
      <c r="M47" s="238"/>
      <c r="O47" s="450" t="s">
        <v>255</v>
      </c>
      <c r="P47" s="450" t="s">
        <v>254</v>
      </c>
      <c r="Q47" s="450" t="s">
        <v>253</v>
      </c>
      <c r="R47" s="258"/>
      <c r="T47" s="152"/>
      <c r="U47" s="19"/>
      <c r="V47" s="19"/>
      <c r="W47" s="19"/>
      <c r="X47" s="19"/>
      <c r="Y47" s="19"/>
      <c r="Z47" s="215" t="s">
        <v>186</v>
      </c>
    </row>
    <row r="48" spans="1:227" s="148" customFormat="1" ht="14.65" customHeight="1" x14ac:dyDescent="0.2">
      <c r="A48" s="526" t="s">
        <v>63</v>
      </c>
      <c r="B48" s="527"/>
      <c r="C48" s="527"/>
      <c r="D48" s="572">
        <f>D34-D47</f>
        <v>0</v>
      </c>
      <c r="E48" s="572"/>
      <c r="F48" s="572">
        <f t="shared" ref="F48" si="9">F34-F47</f>
        <v>0</v>
      </c>
      <c r="G48" s="572"/>
      <c r="H48" s="572">
        <f t="shared" ref="H48" si="10">H34-H47</f>
        <v>0</v>
      </c>
      <c r="I48" s="572"/>
      <c r="J48" s="572">
        <f t="shared" ref="J48" si="11">J34-J47</f>
        <v>0</v>
      </c>
      <c r="K48" s="572"/>
      <c r="L48" s="164"/>
      <c r="M48" s="155"/>
      <c r="O48" s="242" t="s">
        <v>249</v>
      </c>
      <c r="P48" s="451">
        <v>300</v>
      </c>
      <c r="Q48" s="451">
        <v>250</v>
      </c>
      <c r="T48" s="152"/>
      <c r="U48" s="19"/>
      <c r="V48" s="19"/>
      <c r="W48" s="219"/>
      <c r="X48" s="19"/>
      <c r="Y48" s="19"/>
      <c r="Z48" s="215" t="s">
        <v>187</v>
      </c>
    </row>
    <row r="49" spans="1:30" s="148" customFormat="1" ht="14.65" customHeight="1" x14ac:dyDescent="0.2">
      <c r="A49" s="526" t="s">
        <v>38</v>
      </c>
      <c r="B49" s="527"/>
      <c r="C49" s="527"/>
      <c r="D49" s="575" t="str">
        <f>IF(AND(D47&gt;0,D47&gt;0),D47/D34,"")</f>
        <v/>
      </c>
      <c r="E49" s="575"/>
      <c r="F49" s="575" t="str">
        <f t="shared" ref="F49" si="12">IF(AND(F47&gt;0,F47&gt;0),F47/F34,"")</f>
        <v/>
      </c>
      <c r="G49" s="575"/>
      <c r="H49" s="575" t="str">
        <f t="shared" ref="H49" si="13">IF(AND(H47&gt;0,H47&gt;0),H47/H34,"")</f>
        <v/>
      </c>
      <c r="I49" s="575"/>
      <c r="J49" s="575" t="str">
        <f t="shared" ref="J49" si="14">IF(AND(J47&gt;0,J47&gt;0),J47/J34,"")</f>
        <v/>
      </c>
      <c r="K49" s="575"/>
      <c r="L49" s="165"/>
      <c r="M49" s="155"/>
      <c r="O49" s="452" t="s">
        <v>251</v>
      </c>
      <c r="P49" s="451">
        <v>300</v>
      </c>
      <c r="Q49" s="451">
        <v>250</v>
      </c>
      <c r="T49" s="152"/>
      <c r="U49" s="19"/>
      <c r="V49" s="19"/>
      <c r="W49" s="19"/>
      <c r="X49" s="19"/>
      <c r="Y49" s="19"/>
      <c r="Z49" s="227" t="s">
        <v>188</v>
      </c>
    </row>
    <row r="50" spans="1:30" s="148" customFormat="1" ht="14.65" customHeight="1" x14ac:dyDescent="0.2">
      <c r="A50" s="576" t="s">
        <v>5</v>
      </c>
      <c r="B50" s="576"/>
      <c r="C50" s="576"/>
      <c r="D50" s="577"/>
      <c r="E50" s="577"/>
      <c r="F50" s="577"/>
      <c r="G50" s="578"/>
      <c r="H50" s="577"/>
      <c r="I50" s="577"/>
      <c r="J50" s="579"/>
      <c r="K50" s="580"/>
      <c r="L50" s="166"/>
      <c r="M50" s="155"/>
      <c r="O50" s="242" t="s">
        <v>250</v>
      </c>
      <c r="P50" s="451">
        <v>325</v>
      </c>
      <c r="Q50" s="451">
        <v>275</v>
      </c>
      <c r="T50" s="152"/>
      <c r="U50" s="19"/>
      <c r="V50" s="19"/>
      <c r="W50" s="129"/>
      <c r="X50" s="19"/>
      <c r="Y50" s="19"/>
      <c r="Z50" s="215" t="s">
        <v>189</v>
      </c>
    </row>
    <row r="51" spans="1:30" s="148" customFormat="1" ht="14.65" customHeight="1" x14ac:dyDescent="0.2">
      <c r="A51" s="304"/>
      <c r="B51" s="304"/>
      <c r="C51" s="304"/>
      <c r="D51" s="304"/>
      <c r="E51" s="304"/>
      <c r="F51" s="167"/>
      <c r="G51" s="167"/>
      <c r="H51" s="167"/>
      <c r="I51" s="167"/>
      <c r="J51" s="167"/>
      <c r="K51" s="167"/>
      <c r="L51" s="167"/>
      <c r="M51" s="167"/>
      <c r="O51" s="242" t="s">
        <v>252</v>
      </c>
      <c r="P51" s="451">
        <v>350</v>
      </c>
      <c r="Q51" s="451">
        <v>300</v>
      </c>
      <c r="T51" s="152"/>
      <c r="U51" s="226"/>
      <c r="V51" s="221"/>
      <c r="W51" s="129"/>
      <c r="X51" s="19"/>
      <c r="Y51" s="19"/>
      <c r="Z51" s="215" t="s">
        <v>190</v>
      </c>
    </row>
    <row r="52" spans="1:30" s="148" customFormat="1" ht="16.899999999999999" customHeight="1" x14ac:dyDescent="0.2">
      <c r="A52" s="573" t="s">
        <v>62</v>
      </c>
      <c r="B52" s="573"/>
      <c r="C52" s="573"/>
      <c r="D52" s="573"/>
      <c r="E52" s="573"/>
      <c r="F52" s="573"/>
      <c r="G52" s="573"/>
      <c r="H52" s="573"/>
      <c r="I52" s="573"/>
      <c r="J52" s="573"/>
      <c r="K52" s="573"/>
      <c r="L52" s="573"/>
      <c r="M52" s="573"/>
      <c r="N52" s="137"/>
      <c r="O52" s="262"/>
      <c r="T52" s="152"/>
      <c r="U52" s="19"/>
      <c r="V52" s="19"/>
      <c r="W52" s="129"/>
      <c r="X52" s="19"/>
      <c r="Y52" s="19"/>
      <c r="Z52" s="215" t="s">
        <v>191</v>
      </c>
      <c r="AB52" s="153"/>
      <c r="AC52" s="153"/>
      <c r="AD52" s="153"/>
    </row>
    <row r="53" spans="1:30" ht="17.25" customHeight="1" x14ac:dyDescent="0.2">
      <c r="A53" s="573" t="s">
        <v>65</v>
      </c>
      <c r="B53" s="573"/>
      <c r="C53" s="573"/>
      <c r="D53" s="573"/>
      <c r="E53" s="573"/>
      <c r="F53" s="573"/>
      <c r="G53" s="573"/>
      <c r="H53" s="573"/>
      <c r="I53" s="573"/>
      <c r="J53" s="573"/>
      <c r="K53" s="573"/>
      <c r="L53" s="573"/>
      <c r="M53" s="573"/>
      <c r="Z53" s="228" t="s">
        <v>192</v>
      </c>
      <c r="AA53" s="150"/>
    </row>
    <row r="54" spans="1:30" ht="12.6" customHeight="1" x14ac:dyDescent="0.2">
      <c r="A54" s="563" t="s">
        <v>317</v>
      </c>
      <c r="B54" s="563"/>
      <c r="C54" s="563"/>
      <c r="D54" s="563"/>
      <c r="E54" s="563"/>
      <c r="F54" s="563"/>
      <c r="G54" s="563"/>
      <c r="H54" s="563"/>
      <c r="I54" s="563"/>
      <c r="J54" s="563"/>
      <c r="K54" s="563"/>
      <c r="L54" s="563"/>
      <c r="M54" s="563"/>
      <c r="Z54" s="228" t="s">
        <v>193</v>
      </c>
      <c r="AA54" s="148"/>
    </row>
    <row r="55" spans="1:30" ht="16.899999999999999" customHeight="1" x14ac:dyDescent="0.2">
      <c r="A55" s="563" t="s">
        <v>318</v>
      </c>
      <c r="B55" s="563"/>
      <c r="C55" s="563"/>
      <c r="D55" s="563"/>
      <c r="E55" s="563"/>
      <c r="F55" s="563"/>
      <c r="G55" s="563"/>
      <c r="H55" s="563"/>
      <c r="I55" s="563"/>
      <c r="J55" s="563"/>
      <c r="K55" s="563"/>
      <c r="L55" s="563"/>
      <c r="M55" s="563"/>
      <c r="Z55" s="228" t="s">
        <v>194</v>
      </c>
      <c r="AA55" s="148"/>
    </row>
    <row r="56" spans="1:30" ht="17.25" customHeight="1" x14ac:dyDescent="0.2">
      <c r="A56" s="235" t="s">
        <v>137</v>
      </c>
      <c r="B56" s="314"/>
      <c r="C56" s="314"/>
      <c r="D56" s="314"/>
      <c r="E56" s="314"/>
      <c r="F56" s="314"/>
      <c r="G56" s="314"/>
      <c r="H56" s="314"/>
      <c r="I56" s="314"/>
      <c r="J56" s="314"/>
      <c r="K56" s="314"/>
      <c r="L56" s="314"/>
      <c r="M56" s="314"/>
      <c r="Z56" s="228" t="s">
        <v>195</v>
      </c>
    </row>
    <row r="57" spans="1:30" ht="6" customHeight="1" x14ac:dyDescent="0.2">
      <c r="A57" s="235"/>
      <c r="B57" s="314"/>
      <c r="C57" s="314"/>
      <c r="D57" s="314"/>
      <c r="E57" s="314"/>
      <c r="F57" s="314"/>
      <c r="G57" s="314"/>
      <c r="H57" s="314"/>
      <c r="I57" s="314"/>
      <c r="J57" s="314"/>
      <c r="K57" s="314"/>
      <c r="L57" s="314"/>
      <c r="M57" s="314"/>
      <c r="Z57" s="228" t="s">
        <v>196</v>
      </c>
    </row>
    <row r="58" spans="1:30" ht="15.75" customHeight="1" x14ac:dyDescent="0.2">
      <c r="A58" s="563" t="s">
        <v>275</v>
      </c>
      <c r="B58" s="563"/>
      <c r="C58" s="563"/>
      <c r="D58" s="563"/>
      <c r="E58" s="563"/>
      <c r="F58" s="563"/>
      <c r="G58" s="563"/>
      <c r="H58" s="563"/>
      <c r="I58" s="563"/>
      <c r="J58" s="563"/>
      <c r="K58" s="563"/>
      <c r="L58" s="563"/>
      <c r="M58" s="563"/>
      <c r="Z58" s="215" t="s">
        <v>197</v>
      </c>
      <c r="AB58" s="148"/>
      <c r="AC58" s="148"/>
      <c r="AD58" s="148"/>
    </row>
    <row r="59" spans="1:30" ht="15.75" customHeight="1" x14ac:dyDescent="0.2">
      <c r="A59" s="563"/>
      <c r="B59" s="563"/>
      <c r="C59" s="563"/>
      <c r="D59" s="563"/>
      <c r="E59" s="563"/>
      <c r="F59" s="563"/>
      <c r="G59" s="563"/>
      <c r="H59" s="563"/>
      <c r="I59" s="563"/>
      <c r="J59" s="563"/>
      <c r="K59" s="563"/>
      <c r="L59" s="563"/>
      <c r="M59" s="563"/>
      <c r="W59" s="134"/>
      <c r="Z59" s="215" t="s">
        <v>198</v>
      </c>
    </row>
    <row r="60" spans="1:30" ht="15.75" customHeight="1" x14ac:dyDescent="0.2">
      <c r="A60" s="563"/>
      <c r="B60" s="563"/>
      <c r="C60" s="563"/>
      <c r="D60" s="563"/>
      <c r="E60" s="563"/>
      <c r="F60" s="563"/>
      <c r="G60" s="563"/>
      <c r="H60" s="563"/>
      <c r="I60" s="563"/>
      <c r="J60" s="563"/>
      <c r="K60" s="563"/>
      <c r="L60" s="563"/>
      <c r="M60" s="563"/>
      <c r="Z60" s="215" t="s">
        <v>199</v>
      </c>
    </row>
    <row r="61" spans="1:30" ht="21.6" customHeight="1" x14ac:dyDescent="0.2">
      <c r="A61" s="563"/>
      <c r="B61" s="563"/>
      <c r="C61" s="563"/>
      <c r="D61" s="563"/>
      <c r="E61" s="563"/>
      <c r="F61" s="563"/>
      <c r="G61" s="563"/>
      <c r="H61" s="563"/>
      <c r="I61" s="563"/>
      <c r="J61" s="563"/>
      <c r="K61" s="563"/>
      <c r="L61" s="563"/>
      <c r="M61" s="563"/>
      <c r="U61" s="134"/>
      <c r="V61" s="134"/>
      <c r="W61" s="130"/>
      <c r="Z61" s="215" t="s">
        <v>200</v>
      </c>
    </row>
    <row r="62" spans="1:30" ht="4.1500000000000004" customHeight="1" x14ac:dyDescent="0.2">
      <c r="A62"/>
      <c r="B62"/>
      <c r="C62" s="204"/>
      <c r="D62" s="204"/>
      <c r="E62" s="204"/>
      <c r="F62" s="204"/>
      <c r="G62" s="204"/>
      <c r="H62" s="204"/>
      <c r="I62" s="204"/>
      <c r="J62" s="204"/>
      <c r="K62" s="204"/>
      <c r="L62" s="204"/>
      <c r="M62" s="204"/>
      <c r="Z62" s="215" t="s">
        <v>201</v>
      </c>
    </row>
    <row r="63" spans="1:30" ht="25.5" customHeight="1" x14ac:dyDescent="0.2">
      <c r="A63" s="574" t="s">
        <v>44</v>
      </c>
      <c r="B63" s="574"/>
      <c r="C63" s="574"/>
      <c r="D63" s="574"/>
      <c r="E63" s="574"/>
      <c r="F63" s="574"/>
      <c r="G63" s="574"/>
      <c r="H63" s="574"/>
      <c r="I63" s="574"/>
      <c r="J63" s="574"/>
      <c r="K63" s="574"/>
      <c r="L63" s="574"/>
      <c r="M63" s="574"/>
      <c r="N63" s="168"/>
      <c r="U63" s="216"/>
      <c r="V63" s="216"/>
      <c r="X63" s="135"/>
      <c r="Z63" s="215" t="s">
        <v>202</v>
      </c>
    </row>
    <row r="64" spans="1:30" ht="28.9" customHeight="1" x14ac:dyDescent="0.2">
      <c r="A64" s="236" t="s">
        <v>39</v>
      </c>
      <c r="B64" s="599"/>
      <c r="C64" s="599"/>
      <c r="D64" s="599"/>
      <c r="E64" s="599"/>
      <c r="F64" s="599"/>
      <c r="G64" s="599"/>
      <c r="H64" s="599"/>
      <c r="I64" s="169"/>
      <c r="J64" s="169"/>
      <c r="K64" s="169"/>
      <c r="L64" s="169"/>
      <c r="M64" s="169"/>
      <c r="O64" s="270"/>
      <c r="P64" s="168"/>
      <c r="Q64" s="168"/>
      <c r="Z64" s="215" t="s">
        <v>203</v>
      </c>
      <c r="AB64" s="168"/>
      <c r="AC64" s="168"/>
      <c r="AD64" s="168"/>
    </row>
    <row r="65" spans="1:30" ht="35.25" customHeight="1" x14ac:dyDescent="0.2">
      <c r="A65" s="236" t="s">
        <v>40</v>
      </c>
      <c r="B65" s="558"/>
      <c r="C65" s="558"/>
      <c r="D65" s="558"/>
      <c r="E65" s="558"/>
      <c r="F65" s="558"/>
      <c r="G65" s="558"/>
      <c r="H65" s="558"/>
      <c r="I65" s="162" t="s">
        <v>41</v>
      </c>
      <c r="J65" s="600"/>
      <c r="K65" s="600"/>
      <c r="L65" s="600"/>
      <c r="M65" s="170"/>
      <c r="W65" s="229"/>
      <c r="Z65" s="215" t="s">
        <v>204</v>
      </c>
    </row>
    <row r="66" spans="1:30" ht="4.1500000000000004" customHeight="1" x14ac:dyDescent="0.2">
      <c r="A66" s="601"/>
      <c r="B66" s="601"/>
      <c r="C66" s="601"/>
      <c r="D66" s="601"/>
      <c r="E66" s="601"/>
      <c r="F66" s="601"/>
      <c r="G66" s="601"/>
      <c r="H66" s="601"/>
      <c r="I66" s="601"/>
      <c r="J66" s="601"/>
      <c r="K66" s="601"/>
      <c r="L66" s="601"/>
      <c r="M66" s="601"/>
      <c r="W66" s="229"/>
      <c r="Z66" s="215" t="s">
        <v>205</v>
      </c>
      <c r="AA66" s="171"/>
    </row>
    <row r="67" spans="1:30" ht="16.899999999999999" customHeight="1" x14ac:dyDescent="0.2">
      <c r="A67" s="602" t="s">
        <v>139</v>
      </c>
      <c r="B67" s="602"/>
      <c r="C67" s="602"/>
      <c r="D67" s="602"/>
      <c r="E67" s="602"/>
      <c r="F67" s="602"/>
      <c r="G67" s="602"/>
      <c r="H67" s="602"/>
      <c r="I67" s="602"/>
      <c r="J67" s="602"/>
      <c r="K67" s="602"/>
      <c r="L67" s="602"/>
      <c r="M67" s="602"/>
      <c r="N67" s="171"/>
      <c r="U67" s="230"/>
      <c r="V67" s="230"/>
      <c r="X67" s="230"/>
      <c r="Z67" s="215" t="s">
        <v>206</v>
      </c>
      <c r="AA67" s="171"/>
    </row>
    <row r="68" spans="1:30" s="171" customFormat="1" ht="9" customHeight="1" x14ac:dyDescent="0.2">
      <c r="A68" s="172"/>
      <c r="B68" s="173"/>
      <c r="C68" s="172"/>
      <c r="D68" s="172"/>
      <c r="E68" s="172"/>
      <c r="F68" s="172"/>
      <c r="G68" s="172"/>
      <c r="H68" s="172"/>
      <c r="I68" s="172"/>
      <c r="J68" s="172"/>
      <c r="K68" s="172"/>
      <c r="L68" s="172"/>
      <c r="M68" s="172"/>
      <c r="O68" s="262"/>
      <c r="P68" s="137"/>
      <c r="Q68" s="137"/>
      <c r="T68" s="174"/>
      <c r="U68" s="230"/>
      <c r="V68" s="230"/>
      <c r="W68" s="129"/>
      <c r="X68" s="230"/>
      <c r="Y68" s="230"/>
      <c r="Z68" s="215" t="s">
        <v>207</v>
      </c>
      <c r="AA68" s="157"/>
      <c r="AB68" s="137"/>
      <c r="AC68" s="137"/>
      <c r="AD68" s="137"/>
    </row>
    <row r="69" spans="1:30" s="171" customFormat="1" ht="15.75" customHeight="1" x14ac:dyDescent="0.2">
      <c r="A69" s="603" t="s">
        <v>274</v>
      </c>
      <c r="B69" s="604"/>
      <c r="C69" s="604"/>
      <c r="D69" s="604"/>
      <c r="E69" s="604"/>
      <c r="F69" s="604"/>
      <c r="G69" s="604"/>
      <c r="H69" s="604"/>
      <c r="I69" s="604"/>
      <c r="J69" s="604"/>
      <c r="K69" s="604"/>
      <c r="L69" s="604"/>
      <c r="M69" s="605"/>
      <c r="N69" s="157"/>
      <c r="O69" s="271"/>
      <c r="T69" s="174"/>
      <c r="U69" s="19"/>
      <c r="V69" s="19"/>
      <c r="W69" s="129"/>
      <c r="X69" s="216"/>
      <c r="Y69" s="230"/>
      <c r="Z69" s="215" t="s">
        <v>208</v>
      </c>
      <c r="AA69" s="157"/>
    </row>
    <row r="70" spans="1:30" s="157" customFormat="1" ht="15.75" customHeight="1" x14ac:dyDescent="0.2">
      <c r="A70" s="581"/>
      <c r="B70" s="582"/>
      <c r="C70" s="582"/>
      <c r="D70" s="582"/>
      <c r="E70" s="582"/>
      <c r="F70" s="582"/>
      <c r="G70" s="582"/>
      <c r="H70" s="582"/>
      <c r="I70" s="582"/>
      <c r="J70" s="582"/>
      <c r="K70" s="582"/>
      <c r="L70" s="582"/>
      <c r="M70" s="583"/>
      <c r="N70" s="137"/>
      <c r="O70" s="271"/>
      <c r="P70" s="171"/>
      <c r="Q70" s="171"/>
      <c r="T70" s="159"/>
      <c r="U70" s="19"/>
      <c r="V70" s="19"/>
      <c r="W70" s="129"/>
      <c r="X70" s="19"/>
      <c r="Y70" s="216"/>
      <c r="Z70" s="215" t="s">
        <v>209</v>
      </c>
      <c r="AB70" s="171"/>
      <c r="AC70" s="171"/>
      <c r="AD70" s="171"/>
    </row>
    <row r="71" spans="1:30" s="157" customFormat="1" ht="15.6" customHeight="1" x14ac:dyDescent="0.2">
      <c r="A71" s="584"/>
      <c r="B71" s="585"/>
      <c r="C71" s="585"/>
      <c r="D71" s="585"/>
      <c r="E71" s="585"/>
      <c r="F71" s="585"/>
      <c r="G71" s="585"/>
      <c r="H71" s="585"/>
      <c r="I71" s="585"/>
      <c r="J71" s="585"/>
      <c r="K71" s="585"/>
      <c r="L71" s="585"/>
      <c r="M71" s="586"/>
      <c r="N71" s="137"/>
      <c r="O71" s="271"/>
      <c r="P71" s="171"/>
      <c r="Q71" s="171"/>
      <c r="T71" s="159"/>
      <c r="U71" s="19"/>
      <c r="V71" s="19"/>
      <c r="W71" s="129"/>
      <c r="X71" s="19"/>
      <c r="Y71" s="216"/>
      <c r="Z71" s="215" t="s">
        <v>210</v>
      </c>
      <c r="AA71" s="137"/>
      <c r="AB71" s="171"/>
      <c r="AC71" s="171"/>
      <c r="AD71" s="171"/>
    </row>
    <row r="72" spans="1:30" s="157" customFormat="1" ht="15.75" customHeight="1" x14ac:dyDescent="0.2">
      <c r="A72" s="584"/>
      <c r="B72" s="585"/>
      <c r="C72" s="585"/>
      <c r="D72" s="585"/>
      <c r="E72" s="585"/>
      <c r="F72" s="585"/>
      <c r="G72" s="585"/>
      <c r="H72" s="585"/>
      <c r="I72" s="585"/>
      <c r="J72" s="585"/>
      <c r="K72" s="585"/>
      <c r="L72" s="585"/>
      <c r="M72" s="586"/>
      <c r="N72" s="137"/>
      <c r="O72" s="271"/>
      <c r="P72" s="171"/>
      <c r="Q72" s="171"/>
      <c r="T72" s="159"/>
      <c r="U72" s="19"/>
      <c r="V72" s="19"/>
      <c r="W72" s="129"/>
      <c r="X72" s="19"/>
      <c r="Y72" s="216"/>
      <c r="Z72" s="215" t="s">
        <v>211</v>
      </c>
      <c r="AA72" s="137"/>
      <c r="AB72" s="171"/>
      <c r="AC72" s="171"/>
      <c r="AD72" s="171"/>
    </row>
    <row r="73" spans="1:30" ht="11.25" customHeight="1" x14ac:dyDescent="0.2">
      <c r="A73" s="584"/>
      <c r="B73" s="585"/>
      <c r="C73" s="585"/>
      <c r="D73" s="585"/>
      <c r="E73" s="585"/>
      <c r="F73" s="585"/>
      <c r="G73" s="585"/>
      <c r="H73" s="585"/>
      <c r="I73" s="585"/>
      <c r="J73" s="585"/>
      <c r="K73" s="585"/>
      <c r="L73" s="585"/>
      <c r="M73" s="586"/>
      <c r="Z73" s="215" t="s">
        <v>212</v>
      </c>
      <c r="AB73" s="157"/>
      <c r="AC73" s="157"/>
      <c r="AD73" s="157"/>
    </row>
    <row r="74" spans="1:30" ht="11.25" customHeight="1" x14ac:dyDescent="0.2">
      <c r="A74" s="584"/>
      <c r="B74" s="585"/>
      <c r="C74" s="585"/>
      <c r="D74" s="585"/>
      <c r="E74" s="585"/>
      <c r="F74" s="585"/>
      <c r="G74" s="585"/>
      <c r="H74" s="585"/>
      <c r="I74" s="585"/>
      <c r="J74" s="585"/>
      <c r="K74" s="585"/>
      <c r="L74" s="585"/>
      <c r="M74" s="586"/>
      <c r="Z74" s="215" t="s">
        <v>213</v>
      </c>
    </row>
    <row r="75" spans="1:30" ht="11.25" customHeight="1" x14ac:dyDescent="0.2">
      <c r="A75" s="584"/>
      <c r="B75" s="585"/>
      <c r="C75" s="585"/>
      <c r="D75" s="585"/>
      <c r="E75" s="585"/>
      <c r="F75" s="585"/>
      <c r="G75" s="585"/>
      <c r="H75" s="585"/>
      <c r="I75" s="585"/>
      <c r="J75" s="585"/>
      <c r="K75" s="585"/>
      <c r="L75" s="585"/>
      <c r="M75" s="586"/>
      <c r="W75" s="130"/>
      <c r="Z75" s="215" t="s">
        <v>214</v>
      </c>
    </row>
    <row r="76" spans="1:30" ht="11.25" customHeight="1" x14ac:dyDescent="0.2">
      <c r="A76" s="584"/>
      <c r="B76" s="585"/>
      <c r="C76" s="585"/>
      <c r="D76" s="585"/>
      <c r="E76" s="585"/>
      <c r="F76" s="585"/>
      <c r="G76" s="585"/>
      <c r="H76" s="585"/>
      <c r="I76" s="585"/>
      <c r="J76" s="585"/>
      <c r="K76" s="585"/>
      <c r="L76" s="585"/>
      <c r="M76" s="586"/>
      <c r="W76" s="130"/>
      <c r="Z76" s="215" t="s">
        <v>215</v>
      </c>
    </row>
    <row r="77" spans="1:30" ht="11.25" customHeight="1" x14ac:dyDescent="0.2">
      <c r="A77" s="587"/>
      <c r="B77" s="588"/>
      <c r="C77" s="588"/>
      <c r="D77" s="588"/>
      <c r="E77" s="588"/>
      <c r="F77" s="588"/>
      <c r="G77" s="588"/>
      <c r="H77" s="588"/>
      <c r="I77" s="588"/>
      <c r="J77" s="588"/>
      <c r="K77" s="588"/>
      <c r="L77" s="588"/>
      <c r="M77" s="589"/>
      <c r="U77" s="216"/>
      <c r="V77" s="216"/>
      <c r="W77" s="130"/>
      <c r="Z77" s="215" t="s">
        <v>216</v>
      </c>
    </row>
    <row r="78" spans="1:30" ht="5.45" customHeight="1" x14ac:dyDescent="0.2">
      <c r="A78" s="175"/>
      <c r="B78" s="175"/>
      <c r="C78" s="175"/>
      <c r="D78" s="175"/>
      <c r="E78" s="175"/>
      <c r="F78" s="175"/>
      <c r="G78" s="175"/>
      <c r="H78" s="175"/>
      <c r="I78" s="175"/>
      <c r="J78" s="175"/>
      <c r="K78" s="175"/>
      <c r="L78" s="175"/>
      <c r="M78" s="175"/>
      <c r="U78" s="216"/>
      <c r="V78" s="216"/>
      <c r="W78" s="135"/>
      <c r="Z78" s="215" t="s">
        <v>331</v>
      </c>
      <c r="AA78" s="139"/>
    </row>
    <row r="79" spans="1:30" ht="22.5" customHeight="1" x14ac:dyDescent="0.2">
      <c r="A79" s="590" t="s">
        <v>21</v>
      </c>
      <c r="B79" s="590"/>
      <c r="C79" s="590"/>
      <c r="D79" s="590"/>
      <c r="E79" s="590"/>
      <c r="F79" s="590"/>
      <c r="G79" s="590"/>
      <c r="H79" s="590"/>
      <c r="I79" s="590"/>
      <c r="J79" s="590"/>
      <c r="K79" s="590"/>
      <c r="L79" s="590"/>
      <c r="M79" s="590"/>
      <c r="N79" s="139"/>
      <c r="U79" s="216"/>
      <c r="V79" s="216"/>
      <c r="X79" s="216"/>
      <c r="Z79" s="215" t="s">
        <v>217</v>
      </c>
      <c r="AA79" s="176"/>
    </row>
    <row r="80" spans="1:30" s="139" customFormat="1" ht="20.25" customHeight="1" x14ac:dyDescent="0.2">
      <c r="A80" s="591" t="s">
        <v>18</v>
      </c>
      <c r="B80" s="592"/>
      <c r="C80" s="592"/>
      <c r="D80" s="592"/>
      <c r="E80" s="592"/>
      <c r="F80" s="592"/>
      <c r="G80" s="592"/>
      <c r="H80" s="592"/>
      <c r="I80" s="592"/>
      <c r="J80" s="592"/>
      <c r="K80" s="592"/>
      <c r="L80" s="592"/>
      <c r="M80" s="593"/>
      <c r="N80" s="176"/>
      <c r="O80" s="262"/>
      <c r="P80" s="137"/>
      <c r="Q80" s="137"/>
      <c r="R80" s="177"/>
      <c r="S80" s="177"/>
      <c r="T80" s="140"/>
      <c r="U80" s="211"/>
      <c r="V80" s="211"/>
      <c r="W80" s="129"/>
      <c r="X80" s="216"/>
      <c r="Y80" s="216"/>
      <c r="Z80" s="215" t="s">
        <v>218</v>
      </c>
      <c r="AA80" s="144"/>
      <c r="AB80" s="137"/>
      <c r="AC80" s="137"/>
      <c r="AD80" s="137"/>
    </row>
    <row r="81" spans="1:30" s="176" customFormat="1" ht="18" customHeight="1" x14ac:dyDescent="0.2">
      <c r="A81" s="594" t="s">
        <v>329</v>
      </c>
      <c r="B81" s="595"/>
      <c r="C81" s="595"/>
      <c r="D81" s="595"/>
      <c r="E81" s="595"/>
      <c r="F81" s="595"/>
      <c r="G81" s="595"/>
      <c r="H81" s="595"/>
      <c r="I81" s="595"/>
      <c r="J81" s="595"/>
      <c r="K81" s="595"/>
      <c r="L81" s="595"/>
      <c r="M81" s="596"/>
      <c r="N81" s="144"/>
      <c r="O81" s="272"/>
      <c r="P81" s="177"/>
      <c r="Q81" s="177"/>
      <c r="R81" s="177"/>
      <c r="S81" s="177"/>
      <c r="T81" s="178"/>
      <c r="U81" s="19"/>
      <c r="V81" s="19"/>
      <c r="W81" s="129"/>
      <c r="X81" s="216"/>
      <c r="Y81" s="216"/>
      <c r="Z81" s="215" t="s">
        <v>219</v>
      </c>
      <c r="AA81" s="170"/>
      <c r="AB81" s="139"/>
      <c r="AC81" s="139"/>
      <c r="AD81" s="139"/>
    </row>
    <row r="82" spans="1:30" s="144" customFormat="1" ht="15.75" customHeight="1" x14ac:dyDescent="0.2">
      <c r="A82" s="179"/>
      <c r="B82" s="170"/>
      <c r="C82" s="180"/>
      <c r="D82" s="597" t="str">
        <f>$D$23</f>
        <v>2020 Year</v>
      </c>
      <c r="E82" s="598"/>
      <c r="F82" s="597" t="str">
        <f>$F$23</f>
        <v>2021 Year</v>
      </c>
      <c r="G82" s="598"/>
      <c r="H82" s="597" t="str">
        <f>$H$23</f>
        <v>2022 Year</v>
      </c>
      <c r="I82" s="598"/>
      <c r="J82" s="597" t="str">
        <f>$J$23</f>
        <v>Stabilized</v>
      </c>
      <c r="K82" s="598"/>
      <c r="L82" s="170"/>
      <c r="M82" s="181"/>
      <c r="N82" s="170"/>
      <c r="O82" s="265"/>
      <c r="P82" s="207"/>
      <c r="Q82" s="207"/>
      <c r="R82" s="207"/>
      <c r="S82" s="207"/>
      <c r="T82" s="178"/>
      <c r="U82" s="19"/>
      <c r="V82" s="19"/>
      <c r="W82" s="129"/>
      <c r="X82" s="3"/>
      <c r="Y82" s="216"/>
      <c r="Z82" s="215" t="s">
        <v>220</v>
      </c>
      <c r="AA82" s="143"/>
      <c r="AB82" s="176"/>
      <c r="AC82" s="176"/>
      <c r="AD82" s="176"/>
    </row>
    <row r="83" spans="1:30" s="170" customFormat="1" ht="20.25" customHeight="1" x14ac:dyDescent="0.2">
      <c r="A83" s="606" t="s">
        <v>300</v>
      </c>
      <c r="B83" s="607"/>
      <c r="C83" s="608"/>
      <c r="D83" s="609">
        <f>D47</f>
        <v>0</v>
      </c>
      <c r="E83" s="610"/>
      <c r="F83" s="609">
        <f>F47</f>
        <v>0</v>
      </c>
      <c r="G83" s="610"/>
      <c r="H83" s="609">
        <f>H47</f>
        <v>0</v>
      </c>
      <c r="I83" s="610"/>
      <c r="J83" s="508">
        <f>J47</f>
        <v>0</v>
      </c>
      <c r="K83" s="509"/>
      <c r="L83" s="182"/>
      <c r="M83" s="183"/>
      <c r="N83" s="143"/>
      <c r="O83" s="273"/>
      <c r="P83" s="207"/>
      <c r="Q83" s="207"/>
      <c r="R83" s="207"/>
      <c r="S83" s="207"/>
      <c r="T83" s="178"/>
      <c r="U83" s="19"/>
      <c r="V83" s="19"/>
      <c r="W83" s="129"/>
      <c r="X83" s="19"/>
      <c r="Y83" s="3"/>
      <c r="Z83" s="215" t="s">
        <v>221</v>
      </c>
      <c r="AA83" s="143"/>
      <c r="AB83" s="144"/>
      <c r="AC83" s="144"/>
      <c r="AD83" s="144"/>
    </row>
    <row r="84" spans="1:30" s="143" customFormat="1" ht="20.25" customHeight="1" x14ac:dyDescent="0.2">
      <c r="A84" s="611" t="s">
        <v>32</v>
      </c>
      <c r="B84" s="612"/>
      <c r="C84" s="613"/>
      <c r="D84" s="609">
        <f>D48</f>
        <v>0</v>
      </c>
      <c r="E84" s="610"/>
      <c r="F84" s="609">
        <f>F48</f>
        <v>0</v>
      </c>
      <c r="G84" s="610"/>
      <c r="H84" s="609">
        <f>H48</f>
        <v>0</v>
      </c>
      <c r="I84" s="610"/>
      <c r="J84" s="508">
        <f>J48</f>
        <v>0</v>
      </c>
      <c r="K84" s="509"/>
      <c r="L84" s="182"/>
      <c r="M84" s="183"/>
      <c r="O84" s="470" t="s">
        <v>312</v>
      </c>
      <c r="P84" s="470"/>
      <c r="Q84" s="470"/>
      <c r="R84" s="470"/>
      <c r="S84" s="470"/>
      <c r="T84" s="178"/>
      <c r="U84" s="19"/>
      <c r="V84" s="19"/>
      <c r="W84" s="129"/>
      <c r="X84" s="19"/>
      <c r="Y84" s="19"/>
      <c r="Z84" s="215" t="s">
        <v>222</v>
      </c>
      <c r="AB84" s="170"/>
      <c r="AC84" s="170"/>
      <c r="AD84" s="170"/>
    </row>
    <row r="85" spans="1:30" s="143" customFormat="1" ht="20.25" customHeight="1" x14ac:dyDescent="0.2">
      <c r="A85" s="186"/>
      <c r="M85" s="183"/>
      <c r="O85" s="470"/>
      <c r="P85" s="470"/>
      <c r="Q85" s="470"/>
      <c r="R85" s="470"/>
      <c r="S85" s="470"/>
      <c r="T85" s="178"/>
      <c r="U85" s="298" t="s">
        <v>285</v>
      </c>
      <c r="V85" s="299" t="s">
        <v>394</v>
      </c>
      <c r="W85" s="129"/>
      <c r="X85" s="19"/>
      <c r="Y85" s="19"/>
      <c r="Z85" s="215" t="s">
        <v>223</v>
      </c>
    </row>
    <row r="86" spans="1:30" s="143" customFormat="1" ht="20.25" customHeight="1" x14ac:dyDescent="0.2">
      <c r="A86" s="260"/>
      <c r="B86" s="614"/>
      <c r="C86" s="614"/>
      <c r="D86" s="615" t="s">
        <v>30</v>
      </c>
      <c r="E86" s="615"/>
      <c r="F86" s="615"/>
      <c r="G86" s="615"/>
      <c r="H86" s="616">
        <f>IFERROR((M87*M88)/1000," ")</f>
        <v>0</v>
      </c>
      <c r="I86" s="616"/>
      <c r="L86" s="295" t="s">
        <v>297</v>
      </c>
      <c r="M86" s="336"/>
      <c r="O86" s="470"/>
      <c r="P86" s="470"/>
      <c r="Q86" s="470"/>
      <c r="R86" s="470"/>
      <c r="S86" s="470"/>
      <c r="T86" s="145"/>
      <c r="U86" s="298" t="s">
        <v>286</v>
      </c>
      <c r="V86" s="299" t="s">
        <v>395</v>
      </c>
      <c r="W86" s="129"/>
      <c r="X86" s="19"/>
      <c r="Y86" s="19"/>
      <c r="Z86" s="215" t="s">
        <v>224</v>
      </c>
    </row>
    <row r="87" spans="1:30" s="143" customFormat="1" ht="20.25" customHeight="1" x14ac:dyDescent="0.2">
      <c r="A87" s="260"/>
      <c r="B87" s="614"/>
      <c r="C87" s="614"/>
      <c r="D87" s="615" t="s">
        <v>34</v>
      </c>
      <c r="E87" s="615"/>
      <c r="F87" s="615"/>
      <c r="G87" s="615"/>
      <c r="H87" s="617"/>
      <c r="I87" s="617"/>
      <c r="L87" s="295" t="s">
        <v>298</v>
      </c>
      <c r="M87" s="337"/>
      <c r="O87" s="618"/>
      <c r="P87" s="618"/>
      <c r="Q87" s="514" t="s">
        <v>390</v>
      </c>
      <c r="R87" s="515"/>
      <c r="T87" s="145"/>
      <c r="U87" s="298" t="s">
        <v>287</v>
      </c>
      <c r="V87" s="299" t="s">
        <v>294</v>
      </c>
      <c r="W87" s="129"/>
      <c r="X87" s="19"/>
      <c r="Y87" s="19"/>
      <c r="Z87" s="215" t="s">
        <v>225</v>
      </c>
    </row>
    <row r="88" spans="1:30" s="143" customFormat="1" ht="20.25" customHeight="1" x14ac:dyDescent="0.2">
      <c r="A88" s="261"/>
      <c r="B88" s="262"/>
      <c r="C88" s="262"/>
      <c r="D88" s="615" t="s">
        <v>31</v>
      </c>
      <c r="E88" s="615"/>
      <c r="F88" s="615"/>
      <c r="G88" s="615"/>
      <c r="H88" s="623">
        <f>IFERROR(H86+H87,"")</f>
        <v>0</v>
      </c>
      <c r="I88" s="623"/>
      <c r="J88" s="187"/>
      <c r="L88" s="295" t="s">
        <v>313</v>
      </c>
      <c r="M88" s="338"/>
      <c r="O88" s="624" t="e">
        <f>VLOOKUP($O$87,'PVD2024'!U$85:$V$93,2,FALSE)</f>
        <v>#N/A</v>
      </c>
      <c r="P88" s="624"/>
      <c r="Q88" s="137"/>
      <c r="R88" s="137"/>
      <c r="T88" s="145"/>
      <c r="U88" s="298" t="s">
        <v>288</v>
      </c>
      <c r="V88" s="299" t="s">
        <v>395</v>
      </c>
      <c r="W88" s="129"/>
      <c r="X88" s="19"/>
      <c r="Y88" s="19"/>
      <c r="Z88" s="215" t="s">
        <v>226</v>
      </c>
    </row>
    <row r="89" spans="1:30" s="143" customFormat="1" ht="20.25" customHeight="1" x14ac:dyDescent="0.2">
      <c r="A89" s="261"/>
      <c r="B89" s="262"/>
      <c r="C89" s="262"/>
      <c r="D89" s="607" t="s">
        <v>107</v>
      </c>
      <c r="E89" s="607"/>
      <c r="F89" s="607"/>
      <c r="G89" s="607"/>
      <c r="H89" s="625" t="str">
        <f>IF(ISERROR(J84/H88),"",IF((J84&gt;0),J84/H88,""))</f>
        <v/>
      </c>
      <c r="I89" s="625"/>
      <c r="J89" s="182"/>
      <c r="K89" s="295"/>
      <c r="L89" s="295"/>
      <c r="M89" s="188"/>
      <c r="O89" s="262"/>
      <c r="P89" s="137"/>
      <c r="Q89" s="137"/>
      <c r="R89" s="137"/>
      <c r="T89" s="145"/>
      <c r="U89" s="298" t="s">
        <v>289</v>
      </c>
      <c r="V89" s="299" t="s">
        <v>294</v>
      </c>
      <c r="W89" s="129"/>
      <c r="X89" s="19"/>
      <c r="Y89" s="19"/>
      <c r="Z89" s="215" t="s">
        <v>227</v>
      </c>
    </row>
    <row r="90" spans="1:30" s="143" customFormat="1" ht="20.25" customHeight="1" x14ac:dyDescent="0.2">
      <c r="A90" s="261"/>
      <c r="B90" s="607" t="s">
        <v>108</v>
      </c>
      <c r="C90" s="607"/>
      <c r="D90" s="607"/>
      <c r="E90" s="607"/>
      <c r="F90" s="607"/>
      <c r="G90" s="607"/>
      <c r="H90" s="625" t="str">
        <f>IFERROR(IF(AND(L90&gt;-0.01,H89),H89*L90," "),"")</f>
        <v/>
      </c>
      <c r="I90" s="625"/>
      <c r="K90" s="264" t="s">
        <v>299</v>
      </c>
      <c r="L90" s="301"/>
      <c r="M90" s="188"/>
      <c r="O90" s="470" t="s">
        <v>243</v>
      </c>
      <c r="P90" s="470"/>
      <c r="Q90" s="470"/>
      <c r="R90" s="470"/>
      <c r="S90" s="470"/>
      <c r="T90" s="145"/>
      <c r="U90" s="298" t="s">
        <v>290</v>
      </c>
      <c r="V90" s="299" t="s">
        <v>295</v>
      </c>
      <c r="W90" s="19"/>
      <c r="X90" s="19"/>
      <c r="Y90" s="19"/>
      <c r="Z90" s="215" t="s">
        <v>228</v>
      </c>
    </row>
    <row r="91" spans="1:30" s="143" customFormat="1" ht="20.25" customHeight="1" x14ac:dyDescent="0.2">
      <c r="A91" s="606" t="s">
        <v>305</v>
      </c>
      <c r="B91" s="607"/>
      <c r="C91" s="607"/>
      <c r="D91" s="607"/>
      <c r="E91" s="607"/>
      <c r="F91" s="607"/>
      <c r="G91" s="607"/>
      <c r="H91" s="625" t="str">
        <f>IFERROR(IF(AND(H89&gt;0),H89-H90," "),"")</f>
        <v/>
      </c>
      <c r="I91" s="625"/>
      <c r="J91" s="233" t="s">
        <v>296</v>
      </c>
      <c r="K91" s="189"/>
      <c r="M91" s="188"/>
      <c r="O91" s="471" t="s">
        <v>401</v>
      </c>
      <c r="P91" s="471"/>
      <c r="Q91" s="471"/>
      <c r="R91" s="471"/>
      <c r="S91" s="471"/>
      <c r="T91" s="145"/>
      <c r="U91" s="298" t="s">
        <v>291</v>
      </c>
      <c r="V91" s="299" t="s">
        <v>294</v>
      </c>
      <c r="W91" s="129"/>
      <c r="X91" s="19"/>
      <c r="Y91" s="19"/>
      <c r="Z91" s="215" t="s">
        <v>229</v>
      </c>
    </row>
    <row r="92" spans="1:30" s="143" customFormat="1" ht="20.25" customHeight="1" thickBot="1" x14ac:dyDescent="0.25">
      <c r="A92" s="261"/>
      <c r="B92" s="262"/>
      <c r="C92" s="262"/>
      <c r="D92" s="607" t="s">
        <v>33</v>
      </c>
      <c r="E92" s="607"/>
      <c r="F92" s="607"/>
      <c r="G92" s="607"/>
      <c r="H92" s="619" t="str">
        <f>IFERROR(ROUND(H89-H90,-1),"")</f>
        <v/>
      </c>
      <c r="I92" s="619"/>
      <c r="J92" s="182"/>
      <c r="K92" s="137"/>
      <c r="L92" s="137"/>
      <c r="M92" s="191"/>
      <c r="N92" s="137"/>
      <c r="O92" s="471"/>
      <c r="P92" s="471"/>
      <c r="Q92" s="471"/>
      <c r="R92" s="471"/>
      <c r="S92" s="471"/>
      <c r="T92" s="145"/>
      <c r="U92" s="298" t="s">
        <v>292</v>
      </c>
      <c r="V92" s="299" t="s">
        <v>396</v>
      </c>
      <c r="W92" s="129"/>
      <c r="X92" s="19"/>
      <c r="Y92" s="19"/>
      <c r="Z92" s="215" t="s">
        <v>230</v>
      </c>
    </row>
    <row r="93" spans="1:30" s="143" customFormat="1" ht="20.25" customHeight="1" thickTop="1" thickBot="1" x14ac:dyDescent="0.25">
      <c r="A93" s="261"/>
      <c r="B93" s="262"/>
      <c r="C93" s="262"/>
      <c r="D93" s="263"/>
      <c r="E93" s="263"/>
      <c r="F93" s="263"/>
      <c r="G93" s="286" t="s">
        <v>284</v>
      </c>
      <c r="H93" s="620" t="str">
        <f>IFERROR(ROUND(H92/$F$20,-1),"")</f>
        <v/>
      </c>
      <c r="I93" s="620"/>
      <c r="J93" s="182"/>
      <c r="K93" s="137"/>
      <c r="L93" s="137"/>
      <c r="M93" s="191"/>
      <c r="N93" s="137"/>
      <c r="O93" s="471"/>
      <c r="P93" s="471"/>
      <c r="Q93" s="471"/>
      <c r="R93" s="471"/>
      <c r="S93" s="471"/>
      <c r="T93" s="145"/>
      <c r="U93" s="298" t="s">
        <v>293</v>
      </c>
      <c r="V93" s="299" t="s">
        <v>397</v>
      </c>
      <c r="W93" s="129"/>
      <c r="X93" s="19"/>
      <c r="Y93" s="19"/>
      <c r="Z93" s="215" t="s">
        <v>272</v>
      </c>
      <c r="AA93" s="137"/>
    </row>
    <row r="94" spans="1:30" s="143" customFormat="1" ht="10.15" customHeight="1" thickTop="1" x14ac:dyDescent="0.2">
      <c r="A94" s="192"/>
      <c r="B94" s="193"/>
      <c r="C94" s="193"/>
      <c r="D94" s="193"/>
      <c r="E94" s="621"/>
      <c r="F94" s="621"/>
      <c r="G94" s="621"/>
      <c r="H94" s="622"/>
      <c r="I94" s="622"/>
      <c r="J94" s="209"/>
      <c r="K94" s="193"/>
      <c r="L94" s="193"/>
      <c r="M94" s="194"/>
      <c r="N94" s="137"/>
      <c r="O94" s="471"/>
      <c r="P94" s="471"/>
      <c r="Q94" s="471"/>
      <c r="R94" s="471"/>
      <c r="S94" s="471"/>
      <c r="T94" s="138"/>
      <c r="U94" s="19"/>
      <c r="V94" s="19"/>
      <c r="W94" s="130"/>
      <c r="X94" s="19"/>
      <c r="Y94" s="19"/>
      <c r="Z94" s="215" t="s">
        <v>231</v>
      </c>
      <c r="AA94" s="137"/>
    </row>
    <row r="95" spans="1:30" ht="6" customHeight="1" x14ac:dyDescent="0.2">
      <c r="A95" s="193"/>
      <c r="B95" s="193"/>
      <c r="C95" s="193"/>
      <c r="D95" s="193"/>
      <c r="E95" s="193"/>
      <c r="F95" s="193"/>
      <c r="G95" s="193"/>
      <c r="H95" s="193"/>
      <c r="I95" s="193"/>
      <c r="J95" s="193"/>
      <c r="K95" s="193"/>
      <c r="L95" s="193"/>
      <c r="M95" s="195"/>
      <c r="O95" s="274"/>
      <c r="P95" s="232"/>
      <c r="Q95" s="232"/>
      <c r="R95" s="232"/>
      <c r="S95" s="232"/>
      <c r="U95" s="216"/>
      <c r="V95" s="216"/>
      <c r="W95" s="130"/>
      <c r="X95" s="216"/>
      <c r="Z95" s="215" t="s">
        <v>232</v>
      </c>
      <c r="AA95" s="139"/>
      <c r="AB95" s="143"/>
      <c r="AC95" s="143"/>
      <c r="AD95" s="143"/>
    </row>
    <row r="96" spans="1:30" ht="20.25" customHeight="1" x14ac:dyDescent="0.2">
      <c r="A96" s="591" t="s">
        <v>315</v>
      </c>
      <c r="B96" s="592"/>
      <c r="C96" s="592"/>
      <c r="D96" s="592"/>
      <c r="E96" s="592"/>
      <c r="F96" s="592"/>
      <c r="G96" s="592"/>
      <c r="H96" s="592"/>
      <c r="I96" s="592"/>
      <c r="J96" s="592"/>
      <c r="K96" s="592"/>
      <c r="L96" s="592"/>
      <c r="M96" s="593"/>
      <c r="N96" s="139"/>
      <c r="O96" s="274"/>
      <c r="P96" s="232"/>
      <c r="Q96" s="232"/>
      <c r="R96" s="232"/>
      <c r="S96" s="232"/>
      <c r="T96" s="140"/>
      <c r="U96" s="216"/>
      <c r="V96" s="216"/>
      <c r="Y96" s="216"/>
      <c r="Z96" s="215" t="s">
        <v>233</v>
      </c>
    </row>
    <row r="97" spans="1:30" s="139" customFormat="1" ht="20.25" customHeight="1" x14ac:dyDescent="0.2">
      <c r="A97" s="628" t="s">
        <v>271</v>
      </c>
      <c r="B97" s="629"/>
      <c r="C97" s="629"/>
      <c r="D97" s="629"/>
      <c r="E97" s="629"/>
      <c r="F97" s="629"/>
      <c r="G97" s="629"/>
      <c r="H97" s="629"/>
      <c r="I97" s="629"/>
      <c r="J97" s="629"/>
      <c r="K97" s="629"/>
      <c r="L97" s="629"/>
      <c r="M97" s="630"/>
      <c r="N97" s="137"/>
      <c r="O97" s="262"/>
      <c r="P97" s="137"/>
      <c r="Q97" s="137"/>
      <c r="R97" s="137"/>
      <c r="S97" s="137"/>
      <c r="T97" s="138"/>
      <c r="U97" s="19"/>
      <c r="V97" s="19"/>
      <c r="W97" s="129"/>
      <c r="X97" s="19"/>
      <c r="Y97" s="19"/>
      <c r="Z97" s="215" t="s">
        <v>234</v>
      </c>
      <c r="AA97" s="137"/>
      <c r="AB97" s="137"/>
      <c r="AC97" s="137"/>
      <c r="AD97" s="137"/>
    </row>
    <row r="98" spans="1:30" ht="15.6" customHeight="1" x14ac:dyDescent="0.2">
      <c r="A98" s="276"/>
      <c r="B98" s="273"/>
      <c r="C98" s="277"/>
      <c r="D98" s="597" t="str">
        <f>D82</f>
        <v>2020 Year</v>
      </c>
      <c r="E98" s="598"/>
      <c r="F98" s="597" t="str">
        <f>F82</f>
        <v>2021 Year</v>
      </c>
      <c r="G98" s="598"/>
      <c r="H98" s="631" t="str">
        <f>H82</f>
        <v>2022 Year</v>
      </c>
      <c r="I98" s="632"/>
      <c r="J98" s="633" t="s">
        <v>118</v>
      </c>
      <c r="K98" s="634"/>
      <c r="L98" s="170"/>
      <c r="M98" s="181"/>
      <c r="Z98" s="215" t="s">
        <v>235</v>
      </c>
      <c r="AB98" s="139"/>
      <c r="AC98" s="139"/>
      <c r="AD98" s="139"/>
    </row>
    <row r="99" spans="1:30" ht="19.899999999999999" customHeight="1" x14ac:dyDescent="0.2">
      <c r="A99" s="635" t="s">
        <v>19</v>
      </c>
      <c r="B99" s="636"/>
      <c r="C99" s="637"/>
      <c r="D99" s="609">
        <f>D83</f>
        <v>0</v>
      </c>
      <c r="E99" s="610"/>
      <c r="F99" s="609">
        <f>F83</f>
        <v>0</v>
      </c>
      <c r="G99" s="610"/>
      <c r="H99" s="609">
        <f>H83</f>
        <v>0</v>
      </c>
      <c r="I99" s="610"/>
      <c r="J99" s="508">
        <f>J83</f>
        <v>0</v>
      </c>
      <c r="K99" s="509"/>
      <c r="L99" s="182"/>
      <c r="M99" s="183"/>
      <c r="Z99" s="215" t="s">
        <v>236</v>
      </c>
    </row>
    <row r="100" spans="1:30" ht="20.25" customHeight="1" x14ac:dyDescent="0.2">
      <c r="A100" s="278"/>
      <c r="B100" s="279"/>
      <c r="C100" s="286" t="s">
        <v>32</v>
      </c>
      <c r="D100" s="609">
        <f>D84</f>
        <v>0</v>
      </c>
      <c r="E100" s="610"/>
      <c r="F100" s="609">
        <f>F84</f>
        <v>0</v>
      </c>
      <c r="G100" s="610"/>
      <c r="H100" s="508">
        <f>H84</f>
        <v>0</v>
      </c>
      <c r="I100" s="509"/>
      <c r="J100" s="508">
        <f>J84</f>
        <v>0</v>
      </c>
      <c r="K100" s="509"/>
      <c r="L100" s="182"/>
      <c r="M100" s="183"/>
      <c r="Z100" s="215" t="s">
        <v>237</v>
      </c>
    </row>
    <row r="101" spans="1:30" ht="16.899999999999999" customHeight="1" x14ac:dyDescent="0.2">
      <c r="A101" s="184"/>
      <c r="B101" s="185"/>
      <c r="C101" s="234"/>
      <c r="D101" s="196"/>
      <c r="E101" s="197"/>
      <c r="G101" s="196"/>
      <c r="H101" s="196"/>
      <c r="I101" s="196"/>
      <c r="J101" s="196"/>
      <c r="K101" s="196"/>
      <c r="L101" s="182"/>
      <c r="M101" s="183"/>
      <c r="Z101" s="215" t="s">
        <v>238</v>
      </c>
    </row>
    <row r="102" spans="1:30" ht="20.25" customHeight="1" x14ac:dyDescent="0.2">
      <c r="A102" s="184"/>
      <c r="B102" s="185"/>
      <c r="C102" s="234"/>
      <c r="D102" s="280"/>
      <c r="E102" s="275"/>
      <c r="F102" s="262"/>
      <c r="G102" s="280"/>
      <c r="H102" s="626" t="s">
        <v>129</v>
      </c>
      <c r="I102" s="626"/>
      <c r="J102" s="280"/>
      <c r="K102" s="280"/>
      <c r="L102" s="281"/>
      <c r="M102" s="183"/>
      <c r="Z102" s="215" t="s">
        <v>239</v>
      </c>
    </row>
    <row r="103" spans="1:30" ht="20.25" customHeight="1" x14ac:dyDescent="0.2">
      <c r="A103" s="186"/>
      <c r="B103" s="143"/>
      <c r="C103" s="143"/>
      <c r="D103" s="262"/>
      <c r="E103" s="268"/>
      <c r="F103" s="268"/>
      <c r="G103" s="282" t="s">
        <v>30</v>
      </c>
      <c r="H103" s="627">
        <f>IF(H86="","",H86)</f>
        <v>0</v>
      </c>
      <c r="I103" s="627"/>
      <c r="J103" s="283"/>
      <c r="K103" s="295"/>
      <c r="L103" s="295"/>
      <c r="M103" s="188"/>
      <c r="Z103" s="215" t="s">
        <v>240</v>
      </c>
    </row>
    <row r="104" spans="1:30" ht="20.25" customHeight="1" x14ac:dyDescent="0.2">
      <c r="A104" s="186"/>
      <c r="B104" s="143"/>
      <c r="C104" s="143"/>
      <c r="D104" s="262"/>
      <c r="E104" s="268"/>
      <c r="F104" s="268"/>
      <c r="G104" s="282" t="s">
        <v>34</v>
      </c>
      <c r="H104" s="641" t="str">
        <f>IF(H87="","",H87)</f>
        <v/>
      </c>
      <c r="I104" s="641"/>
      <c r="J104" s="283"/>
      <c r="K104" s="295"/>
      <c r="L104" s="295"/>
      <c r="M104" s="188"/>
      <c r="Z104" s="215" t="s">
        <v>241</v>
      </c>
    </row>
    <row r="105" spans="1:30" ht="20.25" customHeight="1" x14ac:dyDescent="0.2">
      <c r="A105" s="186"/>
      <c r="B105" s="143"/>
      <c r="C105" s="143"/>
      <c r="D105" s="262"/>
      <c r="E105" s="268"/>
      <c r="F105" s="268"/>
      <c r="G105" s="282" t="s">
        <v>31</v>
      </c>
      <c r="H105" s="641">
        <f>H88</f>
        <v>0</v>
      </c>
      <c r="I105" s="641"/>
      <c r="J105" s="283"/>
      <c r="K105" s="295"/>
      <c r="L105" s="295"/>
      <c r="M105" s="188"/>
      <c r="Z105" s="215" t="s">
        <v>242</v>
      </c>
    </row>
    <row r="106" spans="1:30" ht="20.25" customHeight="1" x14ac:dyDescent="0.2">
      <c r="A106" s="186"/>
      <c r="B106" s="143"/>
      <c r="C106" s="143"/>
      <c r="D106" s="262"/>
      <c r="E106" s="284"/>
      <c r="F106" s="284"/>
      <c r="G106" s="315" t="s">
        <v>107</v>
      </c>
      <c r="H106" s="625" t="str">
        <f>IFERROR(J100/H105,"")</f>
        <v/>
      </c>
      <c r="I106" s="625"/>
      <c r="J106" s="281"/>
      <c r="K106" s="295"/>
      <c r="L106" s="295"/>
      <c r="M106" s="188"/>
    </row>
    <row r="107" spans="1:30" ht="20.25" customHeight="1" x14ac:dyDescent="0.2">
      <c r="A107" s="186"/>
      <c r="B107" s="198"/>
      <c r="C107" s="198"/>
      <c r="D107" s="284"/>
      <c r="E107" s="284"/>
      <c r="F107" s="284"/>
      <c r="G107" s="315" t="s">
        <v>108</v>
      </c>
      <c r="H107" s="625" t="str">
        <f>IFERROR(H106*L107,"")</f>
        <v/>
      </c>
      <c r="I107" s="625"/>
      <c r="J107" s="262"/>
      <c r="K107" s="264" t="s">
        <v>109</v>
      </c>
      <c r="L107" s="285">
        <f>L90</f>
        <v>0</v>
      </c>
      <c r="M107" s="188"/>
    </row>
    <row r="108" spans="1:30" ht="19.899999999999999" customHeight="1" thickBot="1" x14ac:dyDescent="0.25">
      <c r="A108" s="190"/>
      <c r="C108" s="198"/>
      <c r="D108" s="284"/>
      <c r="E108" s="284"/>
      <c r="F108" s="284"/>
      <c r="G108" s="315" t="s">
        <v>306</v>
      </c>
      <c r="H108" s="619" t="str">
        <f>IFERROR(ROUND(H106-H107,-1),"")</f>
        <v/>
      </c>
      <c r="I108" s="619"/>
      <c r="J108" s="281"/>
      <c r="K108" s="262"/>
      <c r="L108" s="262"/>
      <c r="M108" s="191"/>
    </row>
    <row r="109" spans="1:30" ht="19.899999999999999" customHeight="1" thickTop="1" thickBot="1" x14ac:dyDescent="0.25">
      <c r="A109" s="190"/>
      <c r="D109" s="286"/>
      <c r="E109" s="286"/>
      <c r="F109" s="286"/>
      <c r="G109" s="286" t="s">
        <v>284</v>
      </c>
      <c r="H109" s="619" t="str">
        <f>IF(H93="","",H93)</f>
        <v/>
      </c>
      <c r="I109" s="619"/>
      <c r="J109" s="281"/>
      <c r="K109" s="262"/>
      <c r="L109" s="262"/>
      <c r="M109" s="191"/>
      <c r="Q109" s="199"/>
      <c r="W109" s="19"/>
    </row>
    <row r="110" spans="1:30" ht="9" customHeight="1" thickTop="1" x14ac:dyDescent="0.2">
      <c r="A110" s="190"/>
      <c r="D110" s="286"/>
      <c r="E110" s="286"/>
      <c r="F110" s="286"/>
      <c r="G110" s="263"/>
      <c r="H110" s="297"/>
      <c r="I110" s="297"/>
      <c r="J110" s="281"/>
      <c r="K110" s="262"/>
      <c r="L110" s="262"/>
      <c r="M110" s="191"/>
      <c r="O110" s="275"/>
      <c r="Q110" s="199"/>
      <c r="U110" s="129"/>
      <c r="W110" s="19"/>
    </row>
    <row r="111" spans="1:30" ht="20.25" customHeight="1" x14ac:dyDescent="0.2">
      <c r="A111" s="184"/>
      <c r="B111" s="185"/>
      <c r="C111" s="197"/>
      <c r="D111" s="262"/>
      <c r="E111" s="280"/>
      <c r="F111" s="280"/>
      <c r="G111" s="280"/>
      <c r="H111" s="626" t="s">
        <v>130</v>
      </c>
      <c r="I111" s="626"/>
      <c r="J111" s="281"/>
      <c r="K111" s="268"/>
      <c r="L111" s="262"/>
      <c r="M111" s="200"/>
      <c r="U111" s="129"/>
      <c r="W111" s="19"/>
    </row>
    <row r="112" spans="1:30" ht="20.25" customHeight="1" x14ac:dyDescent="0.25">
      <c r="A112" s="184"/>
      <c r="B112" s="185"/>
      <c r="C112" s="198"/>
      <c r="D112" s="284"/>
      <c r="E112" s="284"/>
      <c r="F112" s="287"/>
      <c r="G112" s="315" t="s">
        <v>131</v>
      </c>
      <c r="H112" s="638" t="str">
        <f>IFERROR(H108,"")</f>
        <v/>
      </c>
      <c r="I112" s="638"/>
      <c r="J112" s="281"/>
      <c r="K112" s="268"/>
      <c r="L112" s="262"/>
      <c r="M112" s="200"/>
      <c r="P112" s="201"/>
      <c r="U112" s="129"/>
      <c r="W112" s="19"/>
    </row>
    <row r="113" spans="1:227" ht="20.25" customHeight="1" x14ac:dyDescent="0.25">
      <c r="A113" s="184"/>
      <c r="B113" s="185"/>
      <c r="C113" s="198"/>
      <c r="D113" s="284"/>
      <c r="E113" s="284"/>
      <c r="F113" s="287"/>
      <c r="G113" s="315" t="s">
        <v>132</v>
      </c>
      <c r="H113" s="639"/>
      <c r="I113" s="639"/>
      <c r="J113" s="281"/>
      <c r="K113" s="268"/>
      <c r="L113" s="262"/>
      <c r="M113" s="200"/>
      <c r="P113" s="201"/>
      <c r="U113" s="129"/>
      <c r="W113" s="19"/>
    </row>
    <row r="114" spans="1:227" ht="20.25" customHeight="1" x14ac:dyDescent="0.2">
      <c r="A114" s="184"/>
      <c r="B114" s="185"/>
      <c r="C114" s="197"/>
      <c r="D114" s="262"/>
      <c r="E114" s="280"/>
      <c r="F114" s="280"/>
      <c r="G114" s="315" t="s">
        <v>332</v>
      </c>
      <c r="H114" s="625">
        <f>IFERROR(H132,"")</f>
        <v>0</v>
      </c>
      <c r="I114" s="625"/>
      <c r="J114" s="281"/>
      <c r="K114" s="268"/>
      <c r="L114" s="262"/>
      <c r="M114" s="200"/>
      <c r="U114" s="129"/>
      <c r="W114" s="19"/>
    </row>
    <row r="115" spans="1:227" ht="20.25" customHeight="1" x14ac:dyDescent="0.2">
      <c r="A115" s="184"/>
      <c r="B115" s="185"/>
      <c r="C115" s="197"/>
      <c r="D115" s="262"/>
      <c r="E115" s="280"/>
      <c r="F115" s="280"/>
      <c r="G115" s="315" t="s">
        <v>268</v>
      </c>
      <c r="H115" s="640"/>
      <c r="I115" s="640"/>
      <c r="J115" s="281"/>
      <c r="K115" s="268"/>
      <c r="L115" s="262"/>
      <c r="M115" s="200"/>
      <c r="U115" s="129"/>
      <c r="W115" s="19"/>
    </row>
    <row r="116" spans="1:227" ht="20.25" customHeight="1" x14ac:dyDescent="0.2">
      <c r="A116" s="184"/>
      <c r="B116" s="185"/>
      <c r="C116" s="197"/>
      <c r="D116" s="262"/>
      <c r="E116" s="280"/>
      <c r="F116" s="280"/>
      <c r="G116" s="315" t="s">
        <v>133</v>
      </c>
      <c r="H116" s="625" t="str">
        <f>IFERROR(H112-H114-H115,"")</f>
        <v/>
      </c>
      <c r="I116" s="625"/>
      <c r="J116" s="281"/>
      <c r="K116" s="268"/>
      <c r="L116" s="262"/>
      <c r="M116" s="200"/>
      <c r="U116" s="129"/>
      <c r="W116" s="19"/>
    </row>
    <row r="117" spans="1:227" ht="20.25" customHeight="1" thickBot="1" x14ac:dyDescent="0.25">
      <c r="A117" s="190"/>
      <c r="C117" s="234"/>
      <c r="D117" s="286"/>
      <c r="E117" s="262"/>
      <c r="F117" s="262"/>
      <c r="G117" s="315" t="s">
        <v>307</v>
      </c>
      <c r="H117" s="648" t="str">
        <f>IFERROR(ROUND(H116,-1),"")</f>
        <v/>
      </c>
      <c r="I117" s="648"/>
      <c r="J117" s="281"/>
      <c r="K117" s="268"/>
      <c r="L117" s="262"/>
      <c r="M117" s="200"/>
      <c r="U117" s="129"/>
    </row>
    <row r="118" spans="1:227" ht="20.25" customHeight="1" thickTop="1" thickBot="1" x14ac:dyDescent="0.25">
      <c r="A118" s="190"/>
      <c r="C118" s="234"/>
      <c r="D118" s="286"/>
      <c r="E118" s="262"/>
      <c r="F118" s="262"/>
      <c r="G118" s="286" t="s">
        <v>284</v>
      </c>
      <c r="H118" s="620" t="str">
        <f>IFERROR(ROUND(H117/$F$20,-1),"")</f>
        <v/>
      </c>
      <c r="I118" s="620"/>
      <c r="J118" s="281"/>
      <c r="K118" s="268"/>
      <c r="L118" s="262"/>
      <c r="M118" s="200"/>
      <c r="U118" s="129"/>
    </row>
    <row r="119" spans="1:227" ht="20.25" customHeight="1" thickTop="1" x14ac:dyDescent="0.2">
      <c r="A119" s="190"/>
      <c r="C119" s="234"/>
      <c r="D119" s="286"/>
      <c r="E119" s="262"/>
      <c r="F119" s="262"/>
      <c r="G119" s="286"/>
      <c r="H119" s="288"/>
      <c r="I119" s="288"/>
      <c r="J119" s="281"/>
      <c r="K119" s="268"/>
      <c r="L119" s="262"/>
      <c r="M119" s="200"/>
    </row>
    <row r="120" spans="1:227" ht="20.25" customHeight="1" x14ac:dyDescent="0.2">
      <c r="A120" s="184"/>
      <c r="B120" s="185"/>
      <c r="D120" s="590" t="s">
        <v>135</v>
      </c>
      <c r="E120" s="590"/>
      <c r="F120" s="590"/>
      <c r="G120" s="590"/>
      <c r="H120" s="590"/>
      <c r="I120" s="590"/>
      <c r="J120" s="280"/>
      <c r="K120" s="280"/>
      <c r="L120" s="281"/>
      <c r="M120" s="183"/>
    </row>
    <row r="121" spans="1:227" ht="20.25" customHeight="1" x14ac:dyDescent="0.2">
      <c r="A121" s="184"/>
      <c r="B121" s="185"/>
      <c r="C121" s="156"/>
      <c r="D121" s="649" t="s">
        <v>119</v>
      </c>
      <c r="E121" s="649"/>
      <c r="F121" s="649" t="s">
        <v>120</v>
      </c>
      <c r="G121" s="649"/>
      <c r="H121" s="649" t="s">
        <v>121</v>
      </c>
      <c r="I121" s="649"/>
      <c r="J121" s="289" t="s">
        <v>134</v>
      </c>
      <c r="K121" s="290"/>
      <c r="L121" s="281"/>
      <c r="M121" s="183"/>
    </row>
    <row r="122" spans="1:227" ht="20.25" customHeight="1" x14ac:dyDescent="0.25">
      <c r="A122" s="184"/>
      <c r="B122" s="185"/>
      <c r="C122" s="202"/>
      <c r="D122" s="651" t="str">
        <f>IF(AND(H113&gt;0,J100-J122),J100-J122,"")</f>
        <v/>
      </c>
      <c r="E122" s="651"/>
      <c r="F122" s="652" t="str">
        <f>IFERROR(ROUND(D122/H122,0),"")</f>
        <v/>
      </c>
      <c r="G122" s="652"/>
      <c r="H122" s="653">
        <f>IFERROR(H113,"")</f>
        <v>0</v>
      </c>
      <c r="I122" s="653"/>
      <c r="J122" s="642">
        <v>0</v>
      </c>
      <c r="K122" s="643"/>
      <c r="L122" s="281"/>
      <c r="M122" s="183"/>
    </row>
    <row r="123" spans="1:227" ht="20.25" customHeight="1" x14ac:dyDescent="0.25">
      <c r="A123" s="184"/>
      <c r="B123" s="185"/>
      <c r="C123" s="202"/>
      <c r="D123" s="291"/>
      <c r="E123" s="341"/>
      <c r="F123" s="292"/>
      <c r="G123" s="292"/>
      <c r="H123" s="644" t="s">
        <v>122</v>
      </c>
      <c r="I123" s="645"/>
      <c r="J123" s="293"/>
      <c r="K123" s="294"/>
      <c r="L123" s="182"/>
      <c r="M123" s="183"/>
    </row>
    <row r="124" spans="1:227" ht="20.25" customHeight="1" x14ac:dyDescent="0.2">
      <c r="A124" s="184"/>
      <c r="B124" s="185"/>
      <c r="D124" s="261"/>
      <c r="E124" s="342" t="s">
        <v>123</v>
      </c>
      <c r="F124" s="646" t="s">
        <v>124</v>
      </c>
      <c r="G124" s="646"/>
      <c r="H124" s="647">
        <f>IFERROR(H105+0.015,"")</f>
        <v>1.4999999999999999E-2</v>
      </c>
      <c r="I124" s="647"/>
      <c r="J124" s="308" t="s">
        <v>333</v>
      </c>
      <c r="K124" s="275"/>
      <c r="L124" s="182"/>
      <c r="M124" s="183"/>
    </row>
    <row r="125" spans="1:227" ht="20.25" customHeight="1" x14ac:dyDescent="0.2">
      <c r="A125" s="186"/>
      <c r="B125" s="143"/>
      <c r="D125" s="261"/>
      <c r="E125" s="343">
        <v>1</v>
      </c>
      <c r="F125" s="650" t="str">
        <f>IFERROR(D122,"")</f>
        <v/>
      </c>
      <c r="G125" s="650"/>
      <c r="H125" s="650" t="str">
        <f>IFERROR((ROUND(F125/(1+$H$124)^E125,0)), "")</f>
        <v/>
      </c>
      <c r="I125" s="650"/>
      <c r="J125" s="280"/>
      <c r="K125" s="280"/>
      <c r="L125" s="182"/>
      <c r="M125" s="183"/>
    </row>
    <row r="126" spans="1:227" ht="20.25" customHeight="1" x14ac:dyDescent="0.2">
      <c r="A126" s="190"/>
      <c r="D126" s="261"/>
      <c r="E126" s="343">
        <v>2</v>
      </c>
      <c r="F126" s="650" t="str">
        <f t="shared" ref="F126:F131" si="15">IFERROR(IF(F125-$F$122&gt;0,F125-$F$122,0),"")</f>
        <v/>
      </c>
      <c r="G126" s="650"/>
      <c r="H126" s="650" t="str">
        <f t="shared" ref="H126:H131" si="16">IFERROR(ROUND(F126/(1+$H$124)^E126,0),"")</f>
        <v/>
      </c>
      <c r="I126" s="650"/>
      <c r="J126" s="262"/>
      <c r="K126" s="262"/>
      <c r="L126" s="143"/>
      <c r="M126" s="183"/>
    </row>
    <row r="127" spans="1:227" s="139" customFormat="1" ht="20.25" customHeight="1" x14ac:dyDescent="0.2">
      <c r="A127" s="190"/>
      <c r="B127" s="137"/>
      <c r="C127" s="137"/>
      <c r="D127" s="261"/>
      <c r="E127" s="343">
        <v>3</v>
      </c>
      <c r="F127" s="650" t="str">
        <f t="shared" si="15"/>
        <v/>
      </c>
      <c r="G127" s="650"/>
      <c r="H127" s="650" t="str">
        <f t="shared" si="16"/>
        <v/>
      </c>
      <c r="I127" s="650"/>
      <c r="J127" s="295"/>
      <c r="K127" s="262"/>
      <c r="L127" s="137"/>
      <c r="M127" s="191"/>
      <c r="N127" s="137"/>
      <c r="O127" s="262"/>
      <c r="P127" s="137"/>
      <c r="Q127" s="137"/>
      <c r="R127" s="137"/>
      <c r="S127" s="137"/>
      <c r="T127" s="138"/>
      <c r="U127" s="19"/>
      <c r="V127" s="19"/>
      <c r="W127" s="129"/>
      <c r="X127" s="19"/>
      <c r="Y127" s="19"/>
      <c r="Z127" s="216"/>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137"/>
      <c r="BU127" s="137"/>
      <c r="BV127" s="137"/>
      <c r="BW127" s="137"/>
      <c r="BX127" s="137"/>
      <c r="BY127" s="137"/>
      <c r="BZ127" s="137"/>
      <c r="CA127" s="137"/>
      <c r="CB127" s="137"/>
      <c r="CC127" s="137"/>
      <c r="CD127" s="137"/>
      <c r="CE127" s="137"/>
      <c r="CF127" s="137"/>
      <c r="CG127" s="137"/>
      <c r="CH127" s="137"/>
      <c r="CI127" s="137"/>
      <c r="CJ127" s="137"/>
      <c r="CK127" s="137"/>
      <c r="CL127" s="137"/>
      <c r="CM127" s="137"/>
      <c r="CN127" s="137"/>
      <c r="CO127" s="137"/>
      <c r="CP127" s="137"/>
      <c r="CQ127" s="137"/>
      <c r="CR127" s="137"/>
      <c r="CS127" s="137"/>
      <c r="CT127" s="137"/>
      <c r="CU127" s="137"/>
      <c r="CV127" s="137"/>
      <c r="CW127" s="137"/>
      <c r="CX127" s="137"/>
      <c r="CY127" s="137"/>
      <c r="CZ127" s="137"/>
      <c r="DA127" s="137"/>
      <c r="DB127" s="137"/>
      <c r="DC127" s="137"/>
      <c r="DD127" s="137"/>
      <c r="DE127" s="137"/>
      <c r="DF127" s="137"/>
      <c r="DG127" s="137"/>
      <c r="DH127" s="137"/>
      <c r="DI127" s="137"/>
      <c r="DJ127" s="137"/>
      <c r="DK127" s="137"/>
      <c r="DL127" s="137"/>
      <c r="DM127" s="137"/>
      <c r="DN127" s="137"/>
      <c r="DO127" s="137"/>
      <c r="DP127" s="137"/>
      <c r="DQ127" s="137"/>
      <c r="DR127" s="137"/>
      <c r="DS127" s="137"/>
      <c r="DT127" s="137"/>
      <c r="DU127" s="137"/>
      <c r="DV127" s="137"/>
      <c r="DW127" s="137"/>
      <c r="DX127" s="137"/>
      <c r="DY127" s="137"/>
      <c r="DZ127" s="137"/>
      <c r="EA127" s="137"/>
      <c r="EB127" s="137"/>
      <c r="EC127" s="137"/>
      <c r="ED127" s="137"/>
      <c r="EE127" s="137"/>
      <c r="EF127" s="137"/>
      <c r="EG127" s="137"/>
      <c r="EH127" s="137"/>
      <c r="EI127" s="137"/>
      <c r="EJ127" s="137"/>
      <c r="EK127" s="137"/>
      <c r="EL127" s="137"/>
      <c r="EM127" s="137"/>
      <c r="EN127" s="137"/>
      <c r="EO127" s="137"/>
      <c r="EP127" s="137"/>
      <c r="EQ127" s="137"/>
      <c r="ER127" s="137"/>
      <c r="ES127" s="137"/>
      <c r="ET127" s="137"/>
      <c r="EU127" s="137"/>
      <c r="EV127" s="137"/>
      <c r="EW127" s="137"/>
      <c r="EX127" s="137"/>
      <c r="EY127" s="137"/>
      <c r="EZ127" s="137"/>
      <c r="FA127" s="137"/>
      <c r="FB127" s="137"/>
      <c r="FC127" s="137"/>
      <c r="FD127" s="137"/>
      <c r="FE127" s="137"/>
      <c r="FF127" s="137"/>
      <c r="FG127" s="137"/>
      <c r="FH127" s="137"/>
      <c r="FI127" s="137"/>
      <c r="FJ127" s="137"/>
      <c r="FK127" s="137"/>
      <c r="FL127" s="137"/>
      <c r="FM127" s="137"/>
      <c r="FN127" s="137"/>
      <c r="FO127" s="137"/>
      <c r="FP127" s="137"/>
      <c r="FQ127" s="137"/>
      <c r="FR127" s="137"/>
      <c r="FS127" s="137"/>
      <c r="FT127" s="137"/>
      <c r="FU127" s="137"/>
      <c r="FV127" s="137"/>
      <c r="FW127" s="137"/>
      <c r="FX127" s="137"/>
      <c r="FY127" s="137"/>
      <c r="FZ127" s="137"/>
      <c r="GA127" s="137"/>
      <c r="GB127" s="137"/>
      <c r="GC127" s="137"/>
      <c r="GD127" s="137"/>
      <c r="GE127" s="137"/>
      <c r="GF127" s="137"/>
      <c r="GG127" s="137"/>
      <c r="GH127" s="137"/>
      <c r="GI127" s="137"/>
      <c r="GJ127" s="137"/>
      <c r="GK127" s="137"/>
      <c r="GL127" s="137"/>
      <c r="GM127" s="137"/>
      <c r="GN127" s="137"/>
      <c r="GO127" s="137"/>
      <c r="GP127" s="137"/>
      <c r="GQ127" s="137"/>
      <c r="GR127" s="137"/>
      <c r="GS127" s="137"/>
      <c r="GT127" s="137"/>
      <c r="GU127" s="137"/>
      <c r="GV127" s="137"/>
      <c r="GW127" s="137"/>
      <c r="GX127" s="137"/>
      <c r="GY127" s="137"/>
      <c r="GZ127" s="137"/>
      <c r="HA127" s="137"/>
      <c r="HB127" s="137"/>
      <c r="HC127" s="137"/>
      <c r="HD127" s="137"/>
      <c r="HE127" s="137"/>
      <c r="HF127" s="137"/>
      <c r="HG127" s="137"/>
      <c r="HH127" s="137"/>
      <c r="HI127" s="137"/>
      <c r="HJ127" s="137"/>
      <c r="HK127" s="137"/>
      <c r="HL127" s="137"/>
      <c r="HM127" s="137"/>
      <c r="HN127" s="137"/>
      <c r="HO127" s="137"/>
      <c r="HP127" s="137"/>
      <c r="HQ127" s="137"/>
      <c r="HR127" s="137"/>
      <c r="HS127" s="137"/>
    </row>
    <row r="128" spans="1:227" s="139" customFormat="1" ht="20.25" customHeight="1" x14ac:dyDescent="0.2">
      <c r="A128" s="190"/>
      <c r="B128" s="137"/>
      <c r="C128" s="137"/>
      <c r="D128" s="261"/>
      <c r="E128" s="343">
        <v>4</v>
      </c>
      <c r="F128" s="650" t="str">
        <f t="shared" si="15"/>
        <v/>
      </c>
      <c r="G128" s="650"/>
      <c r="H128" s="650" t="str">
        <f t="shared" si="16"/>
        <v/>
      </c>
      <c r="I128" s="650"/>
      <c r="J128" s="262"/>
      <c r="K128" s="262"/>
      <c r="L128" s="137"/>
      <c r="M128" s="191"/>
      <c r="N128" s="137"/>
      <c r="O128" s="262"/>
      <c r="P128" s="137"/>
      <c r="Q128" s="137"/>
      <c r="R128" s="137"/>
      <c r="S128" s="137"/>
      <c r="T128" s="138"/>
      <c r="U128" s="19"/>
      <c r="V128" s="19"/>
      <c r="W128" s="129"/>
      <c r="X128" s="19"/>
      <c r="Y128" s="19"/>
      <c r="Z128" s="216"/>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c r="CA128" s="137"/>
      <c r="CB128" s="137"/>
      <c r="CC128" s="137"/>
      <c r="CD128" s="137"/>
      <c r="CE128" s="137"/>
      <c r="CF128" s="137"/>
      <c r="CG128" s="137"/>
      <c r="CH128" s="137"/>
      <c r="CI128" s="137"/>
      <c r="CJ128" s="137"/>
      <c r="CK128" s="137"/>
      <c r="CL128" s="137"/>
      <c r="CM128" s="137"/>
      <c r="CN128" s="137"/>
      <c r="CO128" s="137"/>
      <c r="CP128" s="137"/>
      <c r="CQ128" s="137"/>
      <c r="CR128" s="137"/>
      <c r="CS128" s="137"/>
      <c r="CT128" s="137"/>
      <c r="CU128" s="137"/>
      <c r="CV128" s="137"/>
      <c r="CW128" s="137"/>
      <c r="CX128" s="137"/>
      <c r="CY128" s="137"/>
      <c r="CZ128" s="137"/>
      <c r="DA128" s="137"/>
      <c r="DB128" s="137"/>
      <c r="DC128" s="137"/>
      <c r="DD128" s="137"/>
      <c r="DE128" s="137"/>
      <c r="DF128" s="137"/>
      <c r="DG128" s="137"/>
      <c r="DH128" s="137"/>
      <c r="DI128" s="137"/>
      <c r="DJ128" s="137"/>
      <c r="DK128" s="137"/>
      <c r="DL128" s="137"/>
      <c r="DM128" s="137"/>
      <c r="DN128" s="137"/>
      <c r="DO128" s="137"/>
      <c r="DP128" s="137"/>
      <c r="DQ128" s="137"/>
      <c r="DR128" s="137"/>
      <c r="DS128" s="137"/>
      <c r="DT128" s="137"/>
      <c r="DU128" s="137"/>
      <c r="DV128" s="137"/>
      <c r="DW128" s="137"/>
      <c r="DX128" s="137"/>
      <c r="DY128" s="137"/>
      <c r="DZ128" s="137"/>
      <c r="EA128" s="137"/>
      <c r="EB128" s="137"/>
      <c r="EC128" s="137"/>
      <c r="ED128" s="137"/>
      <c r="EE128" s="137"/>
      <c r="EF128" s="137"/>
      <c r="EG128" s="137"/>
      <c r="EH128" s="137"/>
      <c r="EI128" s="137"/>
      <c r="EJ128" s="137"/>
      <c r="EK128" s="137"/>
      <c r="EL128" s="137"/>
      <c r="EM128" s="137"/>
      <c r="EN128" s="137"/>
      <c r="EO128" s="137"/>
      <c r="EP128" s="137"/>
      <c r="EQ128" s="137"/>
      <c r="ER128" s="137"/>
      <c r="ES128" s="137"/>
      <c r="ET128" s="137"/>
      <c r="EU128" s="137"/>
      <c r="EV128" s="137"/>
      <c r="EW128" s="137"/>
      <c r="EX128" s="137"/>
      <c r="EY128" s="137"/>
      <c r="EZ128" s="137"/>
      <c r="FA128" s="137"/>
      <c r="FB128" s="137"/>
      <c r="FC128" s="137"/>
      <c r="FD128" s="137"/>
      <c r="FE128" s="137"/>
      <c r="FF128" s="137"/>
      <c r="FG128" s="137"/>
      <c r="FH128" s="137"/>
      <c r="FI128" s="137"/>
      <c r="FJ128" s="137"/>
      <c r="FK128" s="137"/>
      <c r="FL128" s="137"/>
      <c r="FM128" s="137"/>
      <c r="FN128" s="137"/>
      <c r="FO128" s="137"/>
      <c r="FP128" s="137"/>
      <c r="FQ128" s="137"/>
      <c r="FR128" s="137"/>
      <c r="FS128" s="137"/>
      <c r="FT128" s="137"/>
      <c r="FU128" s="137"/>
      <c r="FV128" s="137"/>
      <c r="FW128" s="137"/>
      <c r="FX128" s="137"/>
      <c r="FY128" s="137"/>
      <c r="FZ128" s="137"/>
      <c r="GA128" s="137"/>
      <c r="GB128" s="137"/>
      <c r="GC128" s="137"/>
      <c r="GD128" s="137"/>
      <c r="GE128" s="137"/>
      <c r="GF128" s="137"/>
      <c r="GG128" s="137"/>
      <c r="GH128" s="137"/>
      <c r="GI128" s="137"/>
      <c r="GJ128" s="137"/>
      <c r="GK128" s="137"/>
      <c r="GL128" s="137"/>
      <c r="GM128" s="137"/>
      <c r="GN128" s="137"/>
      <c r="GO128" s="137"/>
      <c r="GP128" s="137"/>
      <c r="GQ128" s="137"/>
      <c r="GR128" s="137"/>
      <c r="GS128" s="137"/>
      <c r="GT128" s="137"/>
      <c r="GU128" s="137"/>
      <c r="GV128" s="137"/>
      <c r="GW128" s="137"/>
      <c r="GX128" s="137"/>
      <c r="GY128" s="137"/>
      <c r="GZ128" s="137"/>
      <c r="HA128" s="137"/>
      <c r="HB128" s="137"/>
      <c r="HC128" s="137"/>
      <c r="HD128" s="137"/>
      <c r="HE128" s="137"/>
      <c r="HF128" s="137"/>
      <c r="HG128" s="137"/>
      <c r="HH128" s="137"/>
      <c r="HI128" s="137"/>
      <c r="HJ128" s="137"/>
      <c r="HK128" s="137"/>
      <c r="HL128" s="137"/>
      <c r="HM128" s="137"/>
      <c r="HN128" s="137"/>
      <c r="HO128" s="137"/>
      <c r="HP128" s="137"/>
      <c r="HQ128" s="137"/>
      <c r="HR128" s="137"/>
      <c r="HS128" s="137"/>
    </row>
    <row r="129" spans="1:227" s="139" customFormat="1" ht="20.25" customHeight="1" x14ac:dyDescent="0.2">
      <c r="A129" s="190"/>
      <c r="B129" s="137"/>
      <c r="C129" s="137"/>
      <c r="D129" s="261"/>
      <c r="E129" s="343">
        <v>5</v>
      </c>
      <c r="F129" s="650" t="str">
        <f t="shared" si="15"/>
        <v/>
      </c>
      <c r="G129" s="650"/>
      <c r="H129" s="650" t="str">
        <f t="shared" si="16"/>
        <v/>
      </c>
      <c r="I129" s="650"/>
      <c r="J129" s="262"/>
      <c r="K129" s="262"/>
      <c r="L129" s="137"/>
      <c r="M129" s="191"/>
      <c r="N129" s="137"/>
      <c r="O129" s="262"/>
      <c r="P129" s="137"/>
      <c r="Q129" s="137"/>
      <c r="R129" s="137"/>
      <c r="S129" s="137"/>
      <c r="T129" s="138"/>
      <c r="U129" s="19"/>
      <c r="V129" s="19"/>
      <c r="W129" s="129"/>
      <c r="X129" s="19"/>
      <c r="Y129" s="19"/>
      <c r="Z129" s="216"/>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137"/>
      <c r="BU129" s="137"/>
      <c r="BV129" s="137"/>
      <c r="BW129" s="137"/>
      <c r="BX129" s="137"/>
      <c r="BY129" s="137"/>
      <c r="BZ129" s="137"/>
      <c r="CA129" s="137"/>
      <c r="CB129" s="137"/>
      <c r="CC129" s="137"/>
      <c r="CD129" s="137"/>
      <c r="CE129" s="137"/>
      <c r="CF129" s="137"/>
      <c r="CG129" s="137"/>
      <c r="CH129" s="137"/>
      <c r="CI129" s="137"/>
      <c r="CJ129" s="137"/>
      <c r="CK129" s="137"/>
      <c r="CL129" s="137"/>
      <c r="CM129" s="137"/>
      <c r="CN129" s="137"/>
      <c r="CO129" s="137"/>
      <c r="CP129" s="137"/>
      <c r="CQ129" s="137"/>
      <c r="CR129" s="137"/>
      <c r="CS129" s="137"/>
      <c r="CT129" s="137"/>
      <c r="CU129" s="137"/>
      <c r="CV129" s="137"/>
      <c r="CW129" s="137"/>
      <c r="CX129" s="137"/>
      <c r="CY129" s="137"/>
      <c r="CZ129" s="137"/>
      <c r="DA129" s="137"/>
      <c r="DB129" s="137"/>
      <c r="DC129" s="137"/>
      <c r="DD129" s="137"/>
      <c r="DE129" s="137"/>
      <c r="DF129" s="137"/>
      <c r="DG129" s="137"/>
      <c r="DH129" s="137"/>
      <c r="DI129" s="137"/>
      <c r="DJ129" s="137"/>
      <c r="DK129" s="137"/>
      <c r="DL129" s="137"/>
      <c r="DM129" s="137"/>
      <c r="DN129" s="137"/>
      <c r="DO129" s="137"/>
      <c r="DP129" s="137"/>
      <c r="DQ129" s="137"/>
      <c r="DR129" s="137"/>
      <c r="DS129" s="137"/>
      <c r="DT129" s="137"/>
      <c r="DU129" s="137"/>
      <c r="DV129" s="137"/>
      <c r="DW129" s="137"/>
      <c r="DX129" s="137"/>
      <c r="DY129" s="137"/>
      <c r="DZ129" s="137"/>
      <c r="EA129" s="137"/>
      <c r="EB129" s="137"/>
      <c r="EC129" s="137"/>
      <c r="ED129" s="137"/>
      <c r="EE129" s="137"/>
      <c r="EF129" s="137"/>
      <c r="EG129" s="137"/>
      <c r="EH129" s="137"/>
      <c r="EI129" s="137"/>
      <c r="EJ129" s="137"/>
      <c r="EK129" s="137"/>
      <c r="EL129" s="137"/>
      <c r="EM129" s="137"/>
      <c r="EN129" s="137"/>
      <c r="EO129" s="137"/>
      <c r="EP129" s="137"/>
      <c r="EQ129" s="137"/>
      <c r="ER129" s="137"/>
      <c r="ES129" s="137"/>
      <c r="ET129" s="137"/>
      <c r="EU129" s="137"/>
      <c r="EV129" s="137"/>
      <c r="EW129" s="137"/>
      <c r="EX129" s="137"/>
      <c r="EY129" s="137"/>
      <c r="EZ129" s="137"/>
      <c r="FA129" s="137"/>
      <c r="FB129" s="137"/>
      <c r="FC129" s="137"/>
      <c r="FD129" s="137"/>
      <c r="FE129" s="137"/>
      <c r="FF129" s="137"/>
      <c r="FG129" s="137"/>
      <c r="FH129" s="137"/>
      <c r="FI129" s="137"/>
      <c r="FJ129" s="137"/>
      <c r="FK129" s="137"/>
      <c r="FL129" s="137"/>
      <c r="FM129" s="137"/>
      <c r="FN129" s="137"/>
      <c r="FO129" s="137"/>
      <c r="FP129" s="137"/>
      <c r="FQ129" s="137"/>
      <c r="FR129" s="137"/>
      <c r="FS129" s="137"/>
      <c r="FT129" s="137"/>
      <c r="FU129" s="137"/>
      <c r="FV129" s="137"/>
      <c r="FW129" s="137"/>
      <c r="FX129" s="137"/>
      <c r="FY129" s="137"/>
      <c r="FZ129" s="137"/>
      <c r="GA129" s="137"/>
      <c r="GB129" s="137"/>
      <c r="GC129" s="137"/>
      <c r="GD129" s="137"/>
      <c r="GE129" s="137"/>
      <c r="GF129" s="137"/>
      <c r="GG129" s="137"/>
      <c r="GH129" s="137"/>
      <c r="GI129" s="137"/>
      <c r="GJ129" s="137"/>
      <c r="GK129" s="137"/>
      <c r="GL129" s="137"/>
      <c r="GM129" s="137"/>
      <c r="GN129" s="137"/>
      <c r="GO129" s="137"/>
      <c r="GP129" s="137"/>
      <c r="GQ129" s="137"/>
      <c r="GR129" s="137"/>
      <c r="GS129" s="137"/>
      <c r="GT129" s="137"/>
      <c r="GU129" s="137"/>
      <c r="GV129" s="137"/>
      <c r="GW129" s="137"/>
      <c r="GX129" s="137"/>
      <c r="GY129" s="137"/>
      <c r="GZ129" s="137"/>
      <c r="HA129" s="137"/>
      <c r="HB129" s="137"/>
      <c r="HC129" s="137"/>
      <c r="HD129" s="137"/>
      <c r="HE129" s="137"/>
      <c r="HF129" s="137"/>
      <c r="HG129" s="137"/>
      <c r="HH129" s="137"/>
      <c r="HI129" s="137"/>
      <c r="HJ129" s="137"/>
      <c r="HK129" s="137"/>
      <c r="HL129" s="137"/>
      <c r="HM129" s="137"/>
      <c r="HN129" s="137"/>
      <c r="HO129" s="137"/>
      <c r="HP129" s="137"/>
      <c r="HQ129" s="137"/>
      <c r="HR129" s="137"/>
      <c r="HS129" s="137"/>
    </row>
    <row r="130" spans="1:227" s="139" customFormat="1" ht="20.25" customHeight="1" x14ac:dyDescent="0.2">
      <c r="A130" s="190"/>
      <c r="B130" s="137"/>
      <c r="C130" s="137"/>
      <c r="D130" s="261"/>
      <c r="E130" s="343">
        <v>6</v>
      </c>
      <c r="F130" s="650" t="str">
        <f t="shared" si="15"/>
        <v/>
      </c>
      <c r="G130" s="650"/>
      <c r="H130" s="650" t="str">
        <f t="shared" si="16"/>
        <v/>
      </c>
      <c r="I130" s="650"/>
      <c r="J130" s="262"/>
      <c r="K130" s="262"/>
      <c r="L130" s="137"/>
      <c r="M130" s="191"/>
      <c r="N130" s="137"/>
      <c r="O130" s="262"/>
      <c r="P130" s="137"/>
      <c r="Q130" s="137"/>
      <c r="R130" s="137"/>
      <c r="S130" s="137"/>
      <c r="T130" s="138"/>
      <c r="U130" s="19"/>
      <c r="V130" s="19"/>
      <c r="W130" s="129"/>
      <c r="X130" s="19"/>
      <c r="Y130" s="19"/>
      <c r="Z130" s="216"/>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137"/>
      <c r="BU130" s="137"/>
      <c r="BV130" s="137"/>
      <c r="BW130" s="137"/>
      <c r="BX130" s="137"/>
      <c r="BY130" s="137"/>
      <c r="BZ130" s="137"/>
      <c r="CA130" s="137"/>
      <c r="CB130" s="137"/>
      <c r="CC130" s="137"/>
      <c r="CD130" s="137"/>
      <c r="CE130" s="137"/>
      <c r="CF130" s="137"/>
      <c r="CG130" s="137"/>
      <c r="CH130" s="137"/>
      <c r="CI130" s="137"/>
      <c r="CJ130" s="137"/>
      <c r="CK130" s="137"/>
      <c r="CL130" s="137"/>
      <c r="CM130" s="137"/>
      <c r="CN130" s="137"/>
      <c r="CO130" s="137"/>
      <c r="CP130" s="137"/>
      <c r="CQ130" s="137"/>
      <c r="CR130" s="137"/>
      <c r="CS130" s="137"/>
      <c r="CT130" s="137"/>
      <c r="CU130" s="137"/>
      <c r="CV130" s="137"/>
      <c r="CW130" s="137"/>
      <c r="CX130" s="137"/>
      <c r="CY130" s="137"/>
      <c r="CZ130" s="137"/>
      <c r="DA130" s="137"/>
      <c r="DB130" s="137"/>
      <c r="DC130" s="137"/>
      <c r="DD130" s="137"/>
      <c r="DE130" s="137"/>
      <c r="DF130" s="137"/>
      <c r="DG130" s="137"/>
      <c r="DH130" s="137"/>
      <c r="DI130" s="137"/>
      <c r="DJ130" s="137"/>
      <c r="DK130" s="137"/>
      <c r="DL130" s="137"/>
      <c r="DM130" s="137"/>
      <c r="DN130" s="137"/>
      <c r="DO130" s="137"/>
      <c r="DP130" s="137"/>
      <c r="DQ130" s="137"/>
      <c r="DR130" s="137"/>
      <c r="DS130" s="137"/>
      <c r="DT130" s="137"/>
      <c r="DU130" s="137"/>
      <c r="DV130" s="137"/>
      <c r="DW130" s="137"/>
      <c r="DX130" s="137"/>
      <c r="DY130" s="137"/>
      <c r="DZ130" s="137"/>
      <c r="EA130" s="137"/>
      <c r="EB130" s="137"/>
      <c r="EC130" s="137"/>
      <c r="ED130" s="137"/>
      <c r="EE130" s="137"/>
      <c r="EF130" s="137"/>
      <c r="EG130" s="137"/>
      <c r="EH130" s="137"/>
      <c r="EI130" s="137"/>
      <c r="EJ130" s="137"/>
      <c r="EK130" s="137"/>
      <c r="EL130" s="137"/>
      <c r="EM130" s="137"/>
      <c r="EN130" s="137"/>
      <c r="EO130" s="137"/>
      <c r="EP130" s="137"/>
      <c r="EQ130" s="137"/>
      <c r="ER130" s="137"/>
      <c r="ES130" s="137"/>
      <c r="ET130" s="137"/>
      <c r="EU130" s="137"/>
      <c r="EV130" s="137"/>
      <c r="EW130" s="137"/>
      <c r="EX130" s="137"/>
      <c r="EY130" s="137"/>
      <c r="EZ130" s="137"/>
      <c r="FA130" s="137"/>
      <c r="FB130" s="137"/>
      <c r="FC130" s="137"/>
      <c r="FD130" s="137"/>
      <c r="FE130" s="137"/>
      <c r="FF130" s="137"/>
      <c r="FG130" s="137"/>
      <c r="FH130" s="137"/>
      <c r="FI130" s="137"/>
      <c r="FJ130" s="137"/>
      <c r="FK130" s="137"/>
      <c r="FL130" s="137"/>
      <c r="FM130" s="137"/>
      <c r="FN130" s="137"/>
      <c r="FO130" s="137"/>
      <c r="FP130" s="137"/>
      <c r="FQ130" s="137"/>
      <c r="FR130" s="137"/>
      <c r="FS130" s="137"/>
      <c r="FT130" s="137"/>
      <c r="FU130" s="137"/>
      <c r="FV130" s="137"/>
      <c r="FW130" s="137"/>
      <c r="FX130" s="137"/>
      <c r="FY130" s="137"/>
      <c r="FZ130" s="137"/>
      <c r="GA130" s="137"/>
      <c r="GB130" s="137"/>
      <c r="GC130" s="137"/>
      <c r="GD130" s="137"/>
      <c r="GE130" s="137"/>
      <c r="GF130" s="137"/>
      <c r="GG130" s="137"/>
      <c r="GH130" s="137"/>
      <c r="GI130" s="137"/>
      <c r="GJ130" s="137"/>
      <c r="GK130" s="137"/>
      <c r="GL130" s="137"/>
      <c r="GM130" s="137"/>
      <c r="GN130" s="137"/>
      <c r="GO130" s="137"/>
      <c r="GP130" s="137"/>
      <c r="GQ130" s="137"/>
      <c r="GR130" s="137"/>
      <c r="GS130" s="137"/>
      <c r="GT130" s="137"/>
      <c r="GU130" s="137"/>
      <c r="GV130" s="137"/>
      <c r="GW130" s="137"/>
      <c r="GX130" s="137"/>
      <c r="GY130" s="137"/>
      <c r="GZ130" s="137"/>
      <c r="HA130" s="137"/>
      <c r="HB130" s="137"/>
      <c r="HC130" s="137"/>
      <c r="HD130" s="137"/>
      <c r="HE130" s="137"/>
      <c r="HF130" s="137"/>
      <c r="HG130" s="137"/>
      <c r="HH130" s="137"/>
      <c r="HI130" s="137"/>
      <c r="HJ130" s="137"/>
      <c r="HK130" s="137"/>
      <c r="HL130" s="137"/>
      <c r="HM130" s="137"/>
      <c r="HN130" s="137"/>
      <c r="HO130" s="137"/>
      <c r="HP130" s="137"/>
      <c r="HQ130" s="137"/>
      <c r="HR130" s="137"/>
      <c r="HS130" s="137"/>
    </row>
    <row r="131" spans="1:227" s="139" customFormat="1" ht="20.25" customHeight="1" x14ac:dyDescent="0.2">
      <c r="A131" s="190"/>
      <c r="B131" s="137"/>
      <c r="C131" s="137"/>
      <c r="D131" s="261"/>
      <c r="E131" s="343">
        <v>7</v>
      </c>
      <c r="F131" s="650" t="str">
        <f t="shared" si="15"/>
        <v/>
      </c>
      <c r="G131" s="650"/>
      <c r="H131" s="650" t="str">
        <f t="shared" si="16"/>
        <v/>
      </c>
      <c r="I131" s="650"/>
      <c r="J131" s="262"/>
      <c r="K131" s="262"/>
      <c r="L131" s="137"/>
      <c r="M131" s="191"/>
      <c r="N131" s="137"/>
      <c r="O131" s="262"/>
      <c r="P131" s="137"/>
      <c r="Q131" s="137"/>
      <c r="R131" s="137"/>
      <c r="S131" s="137"/>
      <c r="T131" s="138"/>
      <c r="U131" s="19"/>
      <c r="V131" s="19"/>
      <c r="W131" s="129"/>
      <c r="X131" s="19"/>
      <c r="Y131" s="19"/>
      <c r="Z131" s="216"/>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c r="BC131" s="137"/>
      <c r="BD131" s="137"/>
      <c r="BE131" s="137"/>
      <c r="BF131" s="137"/>
      <c r="BG131" s="137"/>
      <c r="BH131" s="137"/>
      <c r="BI131" s="137"/>
      <c r="BJ131" s="137"/>
      <c r="BK131" s="137"/>
      <c r="BL131" s="137"/>
      <c r="BM131" s="137"/>
      <c r="BN131" s="137"/>
      <c r="BO131" s="137"/>
      <c r="BP131" s="137"/>
      <c r="BQ131" s="137"/>
      <c r="BR131" s="137"/>
      <c r="BS131" s="137"/>
      <c r="BT131" s="137"/>
      <c r="BU131" s="137"/>
      <c r="BV131" s="137"/>
      <c r="BW131" s="137"/>
      <c r="BX131" s="137"/>
      <c r="BY131" s="137"/>
      <c r="BZ131" s="137"/>
      <c r="CA131" s="137"/>
      <c r="CB131" s="137"/>
      <c r="CC131" s="137"/>
      <c r="CD131" s="137"/>
      <c r="CE131" s="137"/>
      <c r="CF131" s="137"/>
      <c r="CG131" s="137"/>
      <c r="CH131" s="137"/>
      <c r="CI131" s="137"/>
      <c r="CJ131" s="137"/>
      <c r="CK131" s="137"/>
      <c r="CL131" s="137"/>
      <c r="CM131" s="137"/>
      <c r="CN131" s="137"/>
      <c r="CO131" s="137"/>
      <c r="CP131" s="137"/>
      <c r="CQ131" s="137"/>
      <c r="CR131" s="137"/>
      <c r="CS131" s="137"/>
      <c r="CT131" s="137"/>
      <c r="CU131" s="137"/>
      <c r="CV131" s="137"/>
      <c r="CW131" s="137"/>
      <c r="CX131" s="137"/>
      <c r="CY131" s="137"/>
      <c r="CZ131" s="137"/>
      <c r="DA131" s="137"/>
      <c r="DB131" s="137"/>
      <c r="DC131" s="137"/>
      <c r="DD131" s="137"/>
      <c r="DE131" s="137"/>
      <c r="DF131" s="137"/>
      <c r="DG131" s="137"/>
      <c r="DH131" s="137"/>
      <c r="DI131" s="137"/>
      <c r="DJ131" s="137"/>
      <c r="DK131" s="137"/>
      <c r="DL131" s="137"/>
      <c r="DM131" s="137"/>
      <c r="DN131" s="137"/>
      <c r="DO131" s="137"/>
      <c r="DP131" s="137"/>
      <c r="DQ131" s="137"/>
      <c r="DR131" s="137"/>
      <c r="DS131" s="137"/>
      <c r="DT131" s="137"/>
      <c r="DU131" s="137"/>
      <c r="DV131" s="137"/>
      <c r="DW131" s="137"/>
      <c r="DX131" s="137"/>
      <c r="DY131" s="137"/>
      <c r="DZ131" s="137"/>
      <c r="EA131" s="137"/>
      <c r="EB131" s="137"/>
      <c r="EC131" s="137"/>
      <c r="ED131" s="137"/>
      <c r="EE131" s="137"/>
      <c r="EF131" s="137"/>
      <c r="EG131" s="137"/>
      <c r="EH131" s="137"/>
      <c r="EI131" s="137"/>
      <c r="EJ131" s="137"/>
      <c r="EK131" s="137"/>
      <c r="EL131" s="137"/>
      <c r="EM131" s="137"/>
      <c r="EN131" s="137"/>
      <c r="EO131" s="137"/>
      <c r="EP131" s="137"/>
      <c r="EQ131" s="137"/>
      <c r="ER131" s="137"/>
      <c r="ES131" s="137"/>
      <c r="ET131" s="137"/>
      <c r="EU131" s="137"/>
      <c r="EV131" s="137"/>
      <c r="EW131" s="137"/>
      <c r="EX131" s="137"/>
      <c r="EY131" s="137"/>
      <c r="EZ131" s="137"/>
      <c r="FA131" s="137"/>
      <c r="FB131" s="137"/>
      <c r="FC131" s="137"/>
      <c r="FD131" s="137"/>
      <c r="FE131" s="137"/>
      <c r="FF131" s="137"/>
      <c r="FG131" s="137"/>
      <c r="FH131" s="137"/>
      <c r="FI131" s="137"/>
      <c r="FJ131" s="137"/>
      <c r="FK131" s="137"/>
      <c r="FL131" s="137"/>
      <c r="FM131" s="137"/>
      <c r="FN131" s="137"/>
      <c r="FO131" s="137"/>
      <c r="FP131" s="137"/>
      <c r="FQ131" s="137"/>
      <c r="FR131" s="137"/>
      <c r="FS131" s="137"/>
      <c r="FT131" s="137"/>
      <c r="FU131" s="137"/>
      <c r="FV131" s="137"/>
      <c r="FW131" s="137"/>
      <c r="FX131" s="137"/>
      <c r="FY131" s="137"/>
      <c r="FZ131" s="137"/>
      <c r="GA131" s="137"/>
      <c r="GB131" s="137"/>
      <c r="GC131" s="137"/>
      <c r="GD131" s="137"/>
      <c r="GE131" s="137"/>
      <c r="GF131" s="137"/>
      <c r="GG131" s="137"/>
      <c r="GH131" s="137"/>
      <c r="GI131" s="137"/>
      <c r="GJ131" s="137"/>
      <c r="GK131" s="137"/>
      <c r="GL131" s="137"/>
      <c r="GM131" s="137"/>
      <c r="GN131" s="137"/>
      <c r="GO131" s="137"/>
      <c r="GP131" s="137"/>
      <c r="GQ131" s="137"/>
      <c r="GR131" s="137"/>
      <c r="GS131" s="137"/>
      <c r="GT131" s="137"/>
      <c r="GU131" s="137"/>
      <c r="GV131" s="137"/>
      <c r="GW131" s="137"/>
      <c r="GX131" s="137"/>
      <c r="GY131" s="137"/>
      <c r="GZ131" s="137"/>
      <c r="HA131" s="137"/>
      <c r="HB131" s="137"/>
      <c r="HC131" s="137"/>
      <c r="HD131" s="137"/>
      <c r="HE131" s="137"/>
      <c r="HF131" s="137"/>
      <c r="HG131" s="137"/>
      <c r="HH131" s="137"/>
      <c r="HI131" s="137"/>
      <c r="HJ131" s="137"/>
      <c r="HK131" s="137"/>
      <c r="HL131" s="137"/>
      <c r="HM131" s="137"/>
      <c r="HN131" s="137"/>
      <c r="HO131" s="137"/>
      <c r="HP131" s="137"/>
      <c r="HQ131" s="137"/>
      <c r="HR131" s="137"/>
      <c r="HS131" s="137"/>
    </row>
    <row r="132" spans="1:227" s="139" customFormat="1" ht="13.15" customHeight="1" x14ac:dyDescent="0.25">
      <c r="A132" s="190"/>
      <c r="B132" s="137"/>
      <c r="C132" s="201"/>
      <c r="D132" s="296"/>
      <c r="E132" s="344" t="s">
        <v>138</v>
      </c>
      <c r="F132" s="654">
        <f>SUM(F125:G131)</f>
        <v>0</v>
      </c>
      <c r="G132" s="654"/>
      <c r="H132" s="655">
        <f>SUM(H125:I131)</f>
        <v>0</v>
      </c>
      <c r="I132" s="655"/>
      <c r="J132" s="262"/>
      <c r="K132" s="262"/>
      <c r="L132" s="137"/>
      <c r="M132" s="191"/>
      <c r="N132" s="137"/>
      <c r="O132" s="262"/>
      <c r="P132" s="137"/>
      <c r="Q132" s="137"/>
      <c r="R132" s="137"/>
      <c r="S132" s="137"/>
      <c r="T132" s="138"/>
      <c r="U132" s="19"/>
      <c r="V132" s="19"/>
      <c r="W132" s="129"/>
      <c r="X132" s="19"/>
      <c r="Y132" s="19"/>
      <c r="Z132" s="216"/>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37"/>
      <c r="BM132" s="137"/>
      <c r="BN132" s="137"/>
      <c r="BO132" s="137"/>
      <c r="BP132" s="137"/>
      <c r="BQ132" s="137"/>
      <c r="BR132" s="137"/>
      <c r="BS132" s="137"/>
      <c r="BT132" s="137"/>
      <c r="BU132" s="137"/>
      <c r="BV132" s="137"/>
      <c r="BW132" s="137"/>
      <c r="BX132" s="137"/>
      <c r="BY132" s="137"/>
      <c r="BZ132" s="137"/>
      <c r="CA132" s="137"/>
      <c r="CB132" s="137"/>
      <c r="CC132" s="137"/>
      <c r="CD132" s="137"/>
      <c r="CE132" s="137"/>
      <c r="CF132" s="137"/>
      <c r="CG132" s="137"/>
      <c r="CH132" s="137"/>
      <c r="CI132" s="137"/>
      <c r="CJ132" s="137"/>
      <c r="CK132" s="137"/>
      <c r="CL132" s="137"/>
      <c r="CM132" s="137"/>
      <c r="CN132" s="137"/>
      <c r="CO132" s="137"/>
      <c r="CP132" s="137"/>
      <c r="CQ132" s="137"/>
      <c r="CR132" s="137"/>
      <c r="CS132" s="137"/>
      <c r="CT132" s="137"/>
      <c r="CU132" s="137"/>
      <c r="CV132" s="137"/>
      <c r="CW132" s="137"/>
      <c r="CX132" s="137"/>
      <c r="CY132" s="137"/>
      <c r="CZ132" s="137"/>
      <c r="DA132" s="137"/>
      <c r="DB132" s="137"/>
      <c r="DC132" s="137"/>
      <c r="DD132" s="137"/>
      <c r="DE132" s="137"/>
      <c r="DF132" s="137"/>
      <c r="DG132" s="137"/>
      <c r="DH132" s="137"/>
      <c r="DI132" s="137"/>
      <c r="DJ132" s="137"/>
      <c r="DK132" s="137"/>
      <c r="DL132" s="137"/>
      <c r="DM132" s="137"/>
      <c r="DN132" s="137"/>
      <c r="DO132" s="137"/>
      <c r="DP132" s="137"/>
      <c r="DQ132" s="137"/>
      <c r="DR132" s="137"/>
      <c r="DS132" s="137"/>
      <c r="DT132" s="137"/>
      <c r="DU132" s="137"/>
      <c r="DV132" s="137"/>
      <c r="DW132" s="137"/>
      <c r="DX132" s="137"/>
      <c r="DY132" s="137"/>
      <c r="DZ132" s="137"/>
      <c r="EA132" s="137"/>
      <c r="EB132" s="137"/>
      <c r="EC132" s="137"/>
      <c r="ED132" s="137"/>
      <c r="EE132" s="137"/>
      <c r="EF132" s="137"/>
      <c r="EG132" s="137"/>
      <c r="EH132" s="137"/>
      <c r="EI132" s="137"/>
      <c r="EJ132" s="137"/>
      <c r="EK132" s="137"/>
      <c r="EL132" s="137"/>
      <c r="EM132" s="137"/>
      <c r="EN132" s="137"/>
      <c r="EO132" s="137"/>
      <c r="EP132" s="137"/>
      <c r="EQ132" s="137"/>
      <c r="ER132" s="137"/>
      <c r="ES132" s="137"/>
      <c r="ET132" s="137"/>
      <c r="EU132" s="137"/>
      <c r="EV132" s="137"/>
      <c r="EW132" s="137"/>
      <c r="EX132" s="137"/>
      <c r="EY132" s="137"/>
      <c r="EZ132" s="137"/>
      <c r="FA132" s="137"/>
      <c r="FB132" s="137"/>
      <c r="FC132" s="137"/>
      <c r="FD132" s="137"/>
      <c r="FE132" s="137"/>
      <c r="FF132" s="137"/>
      <c r="FG132" s="137"/>
      <c r="FH132" s="137"/>
      <c r="FI132" s="137"/>
      <c r="FJ132" s="137"/>
      <c r="FK132" s="137"/>
      <c r="FL132" s="137"/>
      <c r="FM132" s="137"/>
      <c r="FN132" s="137"/>
      <c r="FO132" s="137"/>
      <c r="FP132" s="137"/>
      <c r="FQ132" s="137"/>
      <c r="FR132" s="137"/>
      <c r="FS132" s="137"/>
      <c r="FT132" s="137"/>
      <c r="FU132" s="137"/>
      <c r="FV132" s="137"/>
      <c r="FW132" s="137"/>
      <c r="FX132" s="137"/>
      <c r="FY132" s="137"/>
      <c r="FZ132" s="137"/>
      <c r="GA132" s="137"/>
      <c r="GB132" s="137"/>
      <c r="GC132" s="137"/>
      <c r="GD132" s="137"/>
      <c r="GE132" s="137"/>
      <c r="GF132" s="137"/>
      <c r="GG132" s="137"/>
      <c r="GH132" s="137"/>
      <c r="GI132" s="137"/>
      <c r="GJ132" s="137"/>
      <c r="GK132" s="137"/>
      <c r="GL132" s="137"/>
      <c r="GM132" s="137"/>
      <c r="GN132" s="137"/>
      <c r="GO132" s="137"/>
      <c r="GP132" s="137"/>
      <c r="GQ132" s="137"/>
      <c r="GR132" s="137"/>
      <c r="GS132" s="137"/>
      <c r="GT132" s="137"/>
      <c r="GU132" s="137"/>
      <c r="GV132" s="137"/>
      <c r="GW132" s="137"/>
      <c r="GX132" s="137"/>
      <c r="GY132" s="137"/>
      <c r="GZ132" s="137"/>
      <c r="HA132" s="137"/>
      <c r="HB132" s="137"/>
      <c r="HC132" s="137"/>
      <c r="HD132" s="137"/>
      <c r="HE132" s="137"/>
      <c r="HF132" s="137"/>
      <c r="HG132" s="137"/>
      <c r="HH132" s="137"/>
      <c r="HI132" s="137"/>
      <c r="HJ132" s="137"/>
      <c r="HK132" s="137"/>
      <c r="HL132" s="137"/>
      <c r="HM132" s="137"/>
      <c r="HN132" s="137"/>
      <c r="HO132" s="137"/>
      <c r="HP132" s="137"/>
      <c r="HQ132" s="137"/>
      <c r="HR132" s="137"/>
      <c r="HS132" s="137"/>
    </row>
    <row r="133" spans="1:227" s="139" customFormat="1" ht="9" customHeight="1" x14ac:dyDescent="0.2">
      <c r="A133" s="192"/>
      <c r="B133" s="193"/>
      <c r="C133" s="193"/>
      <c r="D133" s="193"/>
      <c r="E133" s="193"/>
      <c r="F133" s="193"/>
      <c r="G133" s="193"/>
      <c r="H133" s="193"/>
      <c r="I133" s="193"/>
      <c r="J133" s="193"/>
      <c r="K133" s="193"/>
      <c r="L133" s="193"/>
      <c r="M133" s="194"/>
      <c r="N133" s="137"/>
      <c r="O133" s="262"/>
      <c r="P133" s="137"/>
      <c r="Q133" s="137"/>
      <c r="R133" s="137"/>
      <c r="S133" s="137"/>
      <c r="T133" s="138"/>
      <c r="U133" s="19"/>
      <c r="V133" s="19"/>
      <c r="W133" s="129"/>
      <c r="X133" s="19"/>
      <c r="Y133" s="19"/>
      <c r="Z133" s="216"/>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c r="BJ133" s="137"/>
      <c r="BK133" s="137"/>
      <c r="BL133" s="137"/>
      <c r="BM133" s="137"/>
      <c r="BN133" s="137"/>
      <c r="BO133" s="137"/>
      <c r="BP133" s="137"/>
      <c r="BQ133" s="137"/>
      <c r="BR133" s="137"/>
      <c r="BS133" s="137"/>
      <c r="BT133" s="137"/>
      <c r="BU133" s="137"/>
      <c r="BV133" s="137"/>
      <c r="BW133" s="137"/>
      <c r="BX133" s="137"/>
      <c r="BY133" s="137"/>
      <c r="BZ133" s="137"/>
      <c r="CA133" s="137"/>
      <c r="CB133" s="137"/>
      <c r="CC133" s="137"/>
      <c r="CD133" s="137"/>
      <c r="CE133" s="137"/>
      <c r="CF133" s="137"/>
      <c r="CG133" s="137"/>
      <c r="CH133" s="137"/>
      <c r="CI133" s="137"/>
      <c r="CJ133" s="137"/>
      <c r="CK133" s="137"/>
      <c r="CL133" s="137"/>
      <c r="CM133" s="137"/>
      <c r="CN133" s="137"/>
      <c r="CO133" s="137"/>
      <c r="CP133" s="137"/>
      <c r="CQ133" s="137"/>
      <c r="CR133" s="137"/>
      <c r="CS133" s="137"/>
      <c r="CT133" s="137"/>
      <c r="CU133" s="137"/>
      <c r="CV133" s="137"/>
      <c r="CW133" s="137"/>
      <c r="CX133" s="137"/>
      <c r="CY133" s="137"/>
      <c r="CZ133" s="137"/>
      <c r="DA133" s="137"/>
      <c r="DB133" s="137"/>
      <c r="DC133" s="137"/>
      <c r="DD133" s="137"/>
      <c r="DE133" s="137"/>
      <c r="DF133" s="137"/>
      <c r="DG133" s="137"/>
      <c r="DH133" s="137"/>
      <c r="DI133" s="137"/>
      <c r="DJ133" s="137"/>
      <c r="DK133" s="137"/>
      <c r="DL133" s="137"/>
      <c r="DM133" s="137"/>
      <c r="DN133" s="137"/>
      <c r="DO133" s="137"/>
      <c r="DP133" s="137"/>
      <c r="DQ133" s="137"/>
      <c r="DR133" s="137"/>
      <c r="DS133" s="137"/>
      <c r="DT133" s="137"/>
      <c r="DU133" s="137"/>
      <c r="DV133" s="137"/>
      <c r="DW133" s="137"/>
      <c r="DX133" s="137"/>
      <c r="DY133" s="137"/>
      <c r="DZ133" s="137"/>
      <c r="EA133" s="137"/>
      <c r="EB133" s="137"/>
      <c r="EC133" s="137"/>
      <c r="ED133" s="137"/>
      <c r="EE133" s="137"/>
      <c r="EF133" s="137"/>
      <c r="EG133" s="137"/>
      <c r="EH133" s="137"/>
      <c r="EI133" s="137"/>
      <c r="EJ133" s="137"/>
      <c r="EK133" s="137"/>
      <c r="EL133" s="137"/>
      <c r="EM133" s="137"/>
      <c r="EN133" s="137"/>
      <c r="EO133" s="137"/>
      <c r="EP133" s="137"/>
      <c r="EQ133" s="137"/>
      <c r="ER133" s="137"/>
      <c r="ES133" s="137"/>
      <c r="ET133" s="137"/>
      <c r="EU133" s="137"/>
      <c r="EV133" s="137"/>
      <c r="EW133" s="137"/>
      <c r="EX133" s="137"/>
      <c r="EY133" s="137"/>
      <c r="EZ133" s="137"/>
      <c r="FA133" s="137"/>
      <c r="FB133" s="137"/>
      <c r="FC133" s="137"/>
      <c r="FD133" s="137"/>
      <c r="FE133" s="137"/>
      <c r="FF133" s="137"/>
      <c r="FG133" s="137"/>
      <c r="FH133" s="137"/>
      <c r="FI133" s="137"/>
      <c r="FJ133" s="137"/>
      <c r="FK133" s="137"/>
      <c r="FL133" s="137"/>
      <c r="FM133" s="137"/>
      <c r="FN133" s="137"/>
      <c r="FO133" s="137"/>
      <c r="FP133" s="137"/>
      <c r="FQ133" s="137"/>
      <c r="FR133" s="137"/>
      <c r="FS133" s="137"/>
      <c r="FT133" s="137"/>
      <c r="FU133" s="137"/>
      <c r="FV133" s="137"/>
      <c r="FW133" s="137"/>
      <c r="FX133" s="137"/>
      <c r="FY133" s="137"/>
      <c r="FZ133" s="137"/>
      <c r="GA133" s="137"/>
      <c r="GB133" s="137"/>
      <c r="GC133" s="137"/>
      <c r="GD133" s="137"/>
      <c r="GE133" s="137"/>
      <c r="GF133" s="137"/>
      <c r="GG133" s="137"/>
      <c r="GH133" s="137"/>
      <c r="GI133" s="137"/>
      <c r="GJ133" s="137"/>
      <c r="GK133" s="137"/>
      <c r="GL133" s="137"/>
      <c r="GM133" s="137"/>
      <c r="GN133" s="137"/>
      <c r="GO133" s="137"/>
      <c r="GP133" s="137"/>
      <c r="GQ133" s="137"/>
      <c r="GR133" s="137"/>
      <c r="GS133" s="137"/>
      <c r="GT133" s="137"/>
      <c r="GU133" s="137"/>
      <c r="GV133" s="137"/>
      <c r="GW133" s="137"/>
      <c r="GX133" s="137"/>
      <c r="GY133" s="137"/>
      <c r="GZ133" s="137"/>
      <c r="HA133" s="137"/>
      <c r="HB133" s="137"/>
      <c r="HC133" s="137"/>
      <c r="HD133" s="137"/>
      <c r="HE133" s="137"/>
      <c r="HF133" s="137"/>
      <c r="HG133" s="137"/>
      <c r="HH133" s="137"/>
      <c r="HI133" s="137"/>
      <c r="HJ133" s="137"/>
      <c r="HK133" s="137"/>
      <c r="HL133" s="137"/>
      <c r="HM133" s="137"/>
      <c r="HN133" s="137"/>
      <c r="HO133" s="137"/>
      <c r="HP133" s="137"/>
      <c r="HQ133" s="137"/>
      <c r="HR133" s="137"/>
      <c r="HS133" s="137"/>
    </row>
    <row r="134" spans="1:227" s="139" customFormat="1" ht="6.6" customHeight="1" x14ac:dyDescent="0.2">
      <c r="A134" s="137"/>
      <c r="B134" s="137"/>
      <c r="C134" s="137"/>
      <c r="D134" s="137"/>
      <c r="E134" s="137"/>
      <c r="F134" s="137"/>
      <c r="G134" s="137"/>
      <c r="H134" s="137"/>
      <c r="I134" s="137"/>
      <c r="J134" s="137"/>
      <c r="K134" s="137"/>
      <c r="L134" s="137"/>
      <c r="M134" s="203"/>
      <c r="N134" s="137"/>
      <c r="O134" s="262"/>
      <c r="P134" s="137"/>
      <c r="Q134" s="137"/>
      <c r="R134" s="137"/>
      <c r="S134" s="137"/>
      <c r="T134" s="138"/>
      <c r="U134" s="19"/>
      <c r="V134" s="19"/>
      <c r="W134" s="129"/>
      <c r="X134" s="19"/>
      <c r="Y134" s="19"/>
      <c r="Z134" s="216"/>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7"/>
      <c r="BN134" s="137"/>
      <c r="BO134" s="137"/>
      <c r="BP134" s="137"/>
      <c r="BQ134" s="137"/>
      <c r="BR134" s="137"/>
      <c r="BS134" s="137"/>
      <c r="BT134" s="137"/>
      <c r="BU134" s="137"/>
      <c r="BV134" s="137"/>
      <c r="BW134" s="137"/>
      <c r="BX134" s="137"/>
      <c r="BY134" s="137"/>
      <c r="BZ134" s="137"/>
      <c r="CA134" s="137"/>
      <c r="CB134" s="137"/>
      <c r="CC134" s="137"/>
      <c r="CD134" s="137"/>
      <c r="CE134" s="137"/>
      <c r="CF134" s="137"/>
      <c r="CG134" s="137"/>
      <c r="CH134" s="137"/>
      <c r="CI134" s="137"/>
      <c r="CJ134" s="137"/>
      <c r="CK134" s="137"/>
      <c r="CL134" s="137"/>
      <c r="CM134" s="137"/>
      <c r="CN134" s="137"/>
      <c r="CO134" s="137"/>
      <c r="CP134" s="137"/>
      <c r="CQ134" s="137"/>
      <c r="CR134" s="137"/>
      <c r="CS134" s="137"/>
      <c r="CT134" s="137"/>
      <c r="CU134" s="137"/>
      <c r="CV134" s="137"/>
      <c r="CW134" s="137"/>
      <c r="CX134" s="137"/>
      <c r="CY134" s="137"/>
      <c r="CZ134" s="137"/>
      <c r="DA134" s="137"/>
      <c r="DB134" s="137"/>
      <c r="DC134" s="137"/>
      <c r="DD134" s="137"/>
      <c r="DE134" s="137"/>
      <c r="DF134" s="137"/>
      <c r="DG134" s="137"/>
      <c r="DH134" s="137"/>
      <c r="DI134" s="137"/>
      <c r="DJ134" s="137"/>
      <c r="DK134" s="137"/>
      <c r="DL134" s="137"/>
      <c r="DM134" s="137"/>
      <c r="DN134" s="137"/>
      <c r="DO134" s="137"/>
      <c r="DP134" s="137"/>
      <c r="DQ134" s="137"/>
      <c r="DR134" s="137"/>
      <c r="DS134" s="137"/>
      <c r="DT134" s="137"/>
      <c r="DU134" s="137"/>
      <c r="DV134" s="137"/>
      <c r="DW134" s="137"/>
      <c r="DX134" s="137"/>
      <c r="DY134" s="137"/>
      <c r="DZ134" s="137"/>
      <c r="EA134" s="137"/>
      <c r="EB134" s="137"/>
      <c r="EC134" s="137"/>
      <c r="ED134" s="137"/>
      <c r="EE134" s="137"/>
      <c r="EF134" s="137"/>
      <c r="EG134" s="137"/>
      <c r="EH134" s="137"/>
      <c r="EI134" s="137"/>
      <c r="EJ134" s="137"/>
      <c r="EK134" s="137"/>
      <c r="EL134" s="137"/>
      <c r="EM134" s="137"/>
      <c r="EN134" s="137"/>
      <c r="EO134" s="137"/>
      <c r="EP134" s="137"/>
      <c r="EQ134" s="137"/>
      <c r="ER134" s="137"/>
      <c r="ES134" s="137"/>
      <c r="ET134" s="137"/>
      <c r="EU134" s="137"/>
      <c r="EV134" s="137"/>
      <c r="EW134" s="137"/>
      <c r="EX134" s="137"/>
      <c r="EY134" s="137"/>
      <c r="EZ134" s="137"/>
      <c r="FA134" s="137"/>
      <c r="FB134" s="137"/>
      <c r="FC134" s="137"/>
      <c r="FD134" s="137"/>
      <c r="FE134" s="137"/>
      <c r="FF134" s="137"/>
      <c r="FG134" s="137"/>
      <c r="FH134" s="137"/>
      <c r="FI134" s="137"/>
      <c r="FJ134" s="137"/>
      <c r="FK134" s="137"/>
      <c r="FL134" s="137"/>
      <c r="FM134" s="137"/>
      <c r="FN134" s="137"/>
      <c r="FO134" s="137"/>
      <c r="FP134" s="137"/>
      <c r="FQ134" s="137"/>
      <c r="FR134" s="137"/>
      <c r="FS134" s="137"/>
      <c r="FT134" s="137"/>
      <c r="FU134" s="137"/>
      <c r="FV134" s="137"/>
      <c r="FW134" s="137"/>
      <c r="FX134" s="137"/>
      <c r="FY134" s="137"/>
      <c r="FZ134" s="137"/>
      <c r="GA134" s="137"/>
      <c r="GB134" s="137"/>
      <c r="GC134" s="137"/>
      <c r="GD134" s="137"/>
      <c r="GE134" s="137"/>
      <c r="GF134" s="137"/>
      <c r="GG134" s="137"/>
      <c r="GH134" s="137"/>
      <c r="GI134" s="137"/>
      <c r="GJ134" s="137"/>
      <c r="GK134" s="137"/>
      <c r="GL134" s="137"/>
      <c r="GM134" s="137"/>
      <c r="GN134" s="137"/>
      <c r="GO134" s="137"/>
      <c r="GP134" s="137"/>
      <c r="GQ134" s="137"/>
      <c r="GR134" s="137"/>
      <c r="GS134" s="137"/>
      <c r="GT134" s="137"/>
      <c r="GU134" s="137"/>
      <c r="GV134" s="137"/>
      <c r="GW134" s="137"/>
      <c r="GX134" s="137"/>
      <c r="GY134" s="137"/>
      <c r="GZ134" s="137"/>
      <c r="HA134" s="137"/>
      <c r="HB134" s="137"/>
      <c r="HC134" s="137"/>
      <c r="HD134" s="137"/>
      <c r="HE134" s="137"/>
      <c r="HF134" s="137"/>
      <c r="HG134" s="137"/>
      <c r="HH134" s="137"/>
      <c r="HI134" s="137"/>
      <c r="HJ134" s="137"/>
      <c r="HK134" s="137"/>
      <c r="HL134" s="137"/>
      <c r="HM134" s="137"/>
      <c r="HN134" s="137"/>
      <c r="HO134" s="137"/>
      <c r="HP134" s="137"/>
      <c r="HQ134" s="137"/>
      <c r="HR134" s="137"/>
      <c r="HS134" s="137"/>
    </row>
    <row r="135" spans="1:227" ht="19.899999999999999" customHeight="1" x14ac:dyDescent="0.2">
      <c r="A135" s="591" t="s">
        <v>319</v>
      </c>
      <c r="B135" s="592"/>
      <c r="C135" s="592"/>
      <c r="D135" s="592"/>
      <c r="E135" s="592"/>
      <c r="F135" s="592"/>
      <c r="G135" s="592"/>
      <c r="H135" s="592"/>
      <c r="I135" s="592"/>
      <c r="J135" s="592"/>
      <c r="K135" s="592"/>
      <c r="L135" s="592"/>
      <c r="M135" s="593"/>
    </row>
    <row r="136" spans="1:227" ht="21" customHeight="1" x14ac:dyDescent="0.2">
      <c r="A136" s="594" t="s">
        <v>330</v>
      </c>
      <c r="B136" s="595"/>
      <c r="C136" s="595"/>
      <c r="D136" s="595"/>
      <c r="E136" s="595"/>
      <c r="F136" s="595"/>
      <c r="G136" s="595"/>
      <c r="H136" s="595"/>
      <c r="I136" s="595"/>
      <c r="J136" s="595"/>
      <c r="K136" s="595"/>
      <c r="L136" s="595"/>
      <c r="M136" s="596"/>
    </row>
    <row r="137" spans="1:227" ht="13.15" customHeight="1" x14ac:dyDescent="0.2">
      <c r="A137" s="319"/>
      <c r="B137" s="667" t="s">
        <v>323</v>
      </c>
      <c r="C137" s="667"/>
      <c r="D137" s="667" t="s">
        <v>328</v>
      </c>
      <c r="E137" s="668"/>
      <c r="F137" s="667" t="s">
        <v>325</v>
      </c>
      <c r="G137" s="668"/>
      <c r="H137" s="669" t="s">
        <v>324</v>
      </c>
      <c r="I137" s="658" t="s">
        <v>320</v>
      </c>
      <c r="J137" s="658" t="s">
        <v>321</v>
      </c>
      <c r="K137" s="658" t="s">
        <v>322</v>
      </c>
      <c r="L137" s="318"/>
      <c r="M137" s="339"/>
      <c r="N137" s="317"/>
      <c r="O137" s="317"/>
      <c r="S137" s="138"/>
      <c r="T137" s="19"/>
      <c r="V137" s="129"/>
      <c r="W137" s="19"/>
      <c r="Y137" s="216"/>
      <c r="Z137" s="137"/>
    </row>
    <row r="138" spans="1:227" ht="13.15" customHeight="1" x14ac:dyDescent="0.2">
      <c r="A138" s="319"/>
      <c r="B138" s="667"/>
      <c r="C138" s="667"/>
      <c r="D138" s="668"/>
      <c r="E138" s="668"/>
      <c r="F138" s="668"/>
      <c r="G138" s="668"/>
      <c r="H138" s="670"/>
      <c r="I138" s="659"/>
      <c r="J138" s="659"/>
      <c r="K138" s="659"/>
      <c r="L138" s="318"/>
      <c r="M138" s="339"/>
      <c r="N138" s="317"/>
      <c r="O138" s="317"/>
      <c r="T138" s="137"/>
      <c r="U138" s="137"/>
      <c r="V138" s="138"/>
      <c r="W138" s="19" t="s">
        <v>320</v>
      </c>
      <c r="Y138" s="129"/>
      <c r="Z138" s="19"/>
      <c r="AA138" s="19"/>
      <c r="AB138" s="216"/>
    </row>
    <row r="139" spans="1:227" ht="18" customHeight="1" x14ac:dyDescent="0.2">
      <c r="A139" s="319"/>
      <c r="B139" s="660"/>
      <c r="C139" s="660"/>
      <c r="D139" s="661"/>
      <c r="E139" s="661"/>
      <c r="F139" s="662" t="e">
        <f>INDEX($I$139:$K$147,MATCH(D139,$H$139:$H$147,0),MATCH(B139,$W$138:$W$140,0))</f>
        <v>#N/A</v>
      </c>
      <c r="G139" s="662"/>
      <c r="H139" s="327">
        <v>0.3</v>
      </c>
      <c r="I139" s="328">
        <v>14</v>
      </c>
      <c r="J139" s="329">
        <v>12</v>
      </c>
      <c r="K139" s="329">
        <v>11</v>
      </c>
      <c r="L139" s="318"/>
      <c r="M139" s="339"/>
      <c r="N139" s="317"/>
      <c r="O139" s="317"/>
      <c r="T139" s="137"/>
      <c r="U139" s="137"/>
      <c r="V139" s="138"/>
      <c r="W139" s="19" t="s">
        <v>321</v>
      </c>
      <c r="Y139" s="129"/>
      <c r="Z139" s="19"/>
      <c r="AA139" s="19"/>
      <c r="AB139" s="216"/>
    </row>
    <row r="140" spans="1:227" ht="18" customHeight="1" x14ac:dyDescent="0.2">
      <c r="A140" s="319"/>
      <c r="B140" s="663" t="s">
        <v>399</v>
      </c>
      <c r="C140" s="664"/>
      <c r="D140" s="664"/>
      <c r="E140" s="664"/>
      <c r="F140" s="334"/>
      <c r="G140" s="322"/>
      <c r="H140" s="327">
        <v>0.35</v>
      </c>
      <c r="I140" s="328">
        <v>13</v>
      </c>
      <c r="J140" s="329">
        <v>11</v>
      </c>
      <c r="K140" s="329">
        <v>10</v>
      </c>
      <c r="L140" s="318"/>
      <c r="M140" s="339"/>
      <c r="N140" s="317"/>
      <c r="O140" s="317"/>
      <c r="T140" s="137"/>
      <c r="U140" s="137"/>
      <c r="V140" s="138"/>
      <c r="W140" s="19" t="s">
        <v>322</v>
      </c>
      <c r="Y140" s="129"/>
      <c r="Z140" s="19"/>
      <c r="AA140" s="19"/>
      <c r="AB140" s="216"/>
    </row>
    <row r="141" spans="1:227" ht="18" customHeight="1" x14ac:dyDescent="0.2">
      <c r="A141" s="319"/>
      <c r="B141" s="320"/>
      <c r="C141" s="203"/>
      <c r="D141" s="321"/>
      <c r="E141" s="295" t="s">
        <v>326</v>
      </c>
      <c r="F141" s="665">
        <f>IFERROR(J34,"")</f>
        <v>0</v>
      </c>
      <c r="G141" s="666"/>
      <c r="H141" s="327">
        <v>0.4</v>
      </c>
      <c r="I141" s="328">
        <v>12</v>
      </c>
      <c r="J141" s="329">
        <v>10</v>
      </c>
      <c r="K141" s="329">
        <v>9</v>
      </c>
      <c r="L141" s="318"/>
      <c r="M141" s="339"/>
      <c r="N141" s="317"/>
      <c r="O141" s="317"/>
      <c r="S141" s="138"/>
      <c r="T141" s="19"/>
      <c r="V141" s="129"/>
      <c r="W141" s="19"/>
      <c r="Y141" s="216"/>
      <c r="Z141" s="137"/>
    </row>
    <row r="142" spans="1:227" ht="18" customHeight="1" x14ac:dyDescent="0.2">
      <c r="A142" s="319"/>
      <c r="B142" s="333"/>
      <c r="C142" s="203"/>
      <c r="D142" s="203"/>
      <c r="E142" s="203"/>
      <c r="F142" s="340"/>
      <c r="G142" s="340"/>
      <c r="H142" s="327">
        <v>0.45</v>
      </c>
      <c r="I142" s="328">
        <v>11</v>
      </c>
      <c r="J142" s="329">
        <v>9</v>
      </c>
      <c r="K142" s="329">
        <v>8</v>
      </c>
      <c r="L142" s="318"/>
      <c r="M142" s="339"/>
      <c r="N142" s="317"/>
      <c r="O142" s="317"/>
      <c r="S142" s="138"/>
      <c r="T142" s="19"/>
      <c r="V142" s="129"/>
      <c r="W142" s="19"/>
      <c r="Y142" s="216"/>
      <c r="Z142" s="137"/>
    </row>
    <row r="143" spans="1:227" ht="18" customHeight="1" thickBot="1" x14ac:dyDescent="0.25">
      <c r="A143" s="319"/>
      <c r="B143" s="333"/>
      <c r="C143" s="203"/>
      <c r="D143" s="286"/>
      <c r="E143" s="286" t="s">
        <v>33</v>
      </c>
      <c r="F143" s="656" t="str">
        <f>IFERROR(F141*F139,"")</f>
        <v/>
      </c>
      <c r="G143" s="657"/>
      <c r="H143" s="327">
        <v>0.5</v>
      </c>
      <c r="I143" s="328">
        <v>10</v>
      </c>
      <c r="J143" s="329">
        <v>8</v>
      </c>
      <c r="K143" s="329">
        <v>7</v>
      </c>
      <c r="L143" s="318"/>
      <c r="M143" s="339"/>
      <c r="N143" s="317"/>
      <c r="O143" s="317"/>
      <c r="S143" s="138"/>
      <c r="T143" s="19"/>
      <c r="V143" s="129"/>
      <c r="W143" s="19"/>
      <c r="Y143" s="216"/>
      <c r="Z143" s="137"/>
    </row>
    <row r="144" spans="1:227" ht="18" customHeight="1" thickTop="1" x14ac:dyDescent="0.2">
      <c r="A144" s="319"/>
      <c r="B144" s="333"/>
      <c r="C144" s="268"/>
      <c r="D144" s="268"/>
      <c r="E144" s="322"/>
      <c r="F144" s="335"/>
      <c r="G144" s="322"/>
      <c r="H144" s="327">
        <v>0.55000000000000004</v>
      </c>
      <c r="I144" s="328">
        <v>9</v>
      </c>
      <c r="J144" s="329">
        <v>7</v>
      </c>
      <c r="K144" s="329">
        <v>6</v>
      </c>
      <c r="L144" s="318"/>
      <c r="M144" s="339"/>
      <c r="N144" s="317"/>
      <c r="O144" s="317"/>
      <c r="S144" s="138"/>
      <c r="T144" s="19"/>
      <c r="V144" s="129"/>
      <c r="W144" s="19"/>
      <c r="Y144" s="216"/>
      <c r="Z144" s="137"/>
    </row>
    <row r="145" spans="1:26" ht="18" customHeight="1" thickBot="1" x14ac:dyDescent="0.25">
      <c r="A145" s="319"/>
      <c r="B145" s="333"/>
      <c r="C145" s="268"/>
      <c r="D145" s="268"/>
      <c r="E145" s="286" t="s">
        <v>284</v>
      </c>
      <c r="F145" s="656" t="str">
        <f>IFERROR(ROUND(F143/$F$20,-1),"")</f>
        <v/>
      </c>
      <c r="G145" s="657"/>
      <c r="H145" s="327">
        <v>0.6</v>
      </c>
      <c r="I145" s="328">
        <v>8</v>
      </c>
      <c r="J145" s="329">
        <v>6</v>
      </c>
      <c r="K145" s="329">
        <v>5</v>
      </c>
      <c r="L145" s="318"/>
      <c r="M145" s="339"/>
      <c r="N145" s="317"/>
      <c r="O145" s="317"/>
      <c r="S145" s="138"/>
      <c r="T145" s="19"/>
      <c r="V145" s="129"/>
      <c r="W145" s="19"/>
      <c r="Y145" s="216"/>
      <c r="Z145" s="137"/>
    </row>
    <row r="146" spans="1:26" ht="18" customHeight="1" thickTop="1" x14ac:dyDescent="0.2">
      <c r="A146" s="319"/>
      <c r="B146" s="319"/>
      <c r="C146" s="262"/>
      <c r="D146" s="262"/>
      <c r="E146" s="322"/>
      <c r="F146" s="316"/>
      <c r="G146" s="316"/>
      <c r="H146" s="327">
        <v>0.65</v>
      </c>
      <c r="I146" s="328">
        <v>7</v>
      </c>
      <c r="J146" s="329">
        <v>5</v>
      </c>
      <c r="K146" s="329">
        <v>4</v>
      </c>
      <c r="L146" s="318"/>
      <c r="M146" s="339"/>
      <c r="N146" s="317"/>
      <c r="O146" s="317"/>
      <c r="S146" s="138"/>
      <c r="T146" s="19"/>
      <c r="V146" s="129"/>
      <c r="W146" s="19"/>
      <c r="Y146" s="216"/>
      <c r="Z146" s="137"/>
    </row>
    <row r="147" spans="1:26" ht="18" customHeight="1" x14ac:dyDescent="0.2">
      <c r="A147" s="319"/>
      <c r="B147" s="323"/>
      <c r="C147" s="324"/>
      <c r="D147" s="324"/>
      <c r="E147" s="324"/>
      <c r="F147" s="325"/>
      <c r="G147" s="326"/>
      <c r="H147" s="330">
        <v>0.7</v>
      </c>
      <c r="I147" s="331">
        <v>6</v>
      </c>
      <c r="J147" s="332">
        <v>4</v>
      </c>
      <c r="K147" s="332">
        <v>3</v>
      </c>
      <c r="L147" s="318"/>
      <c r="M147" s="339"/>
      <c r="N147" s="317"/>
      <c r="O147" s="317"/>
      <c r="S147" s="138"/>
      <c r="T147" s="19"/>
      <c r="V147" s="129"/>
      <c r="W147" s="19"/>
      <c r="Y147" s="216"/>
      <c r="Z147" s="137"/>
    </row>
    <row r="148" spans="1:26" ht="21" customHeight="1" x14ac:dyDescent="0.2">
      <c r="A148" s="192"/>
      <c r="B148" s="193"/>
      <c r="C148" s="193"/>
      <c r="D148" s="193"/>
      <c r="E148" s="193"/>
      <c r="F148" s="193"/>
      <c r="G148" s="193"/>
      <c r="H148" s="193"/>
      <c r="I148" s="193"/>
      <c r="J148" s="193"/>
      <c r="K148" s="193"/>
      <c r="L148" s="193"/>
      <c r="M148" s="194"/>
    </row>
  </sheetData>
  <sheetProtection algorithmName="SHA-512" hashValue="4Rzlx90jDXdA6qTlD2XPs+sIOzZvKkwchnVCbeyTYIhYVK0s9kyIPk9tgsH+/LIZErXRrPjgaiMDX+MO7lLasQ==" saltValue="5sJOLsI4/mxYC8r9Klv9sw==" spinCount="100000" sheet="1" objects="1" scenarios="1"/>
  <mergeCells count="314">
    <mergeCell ref="F143:G143"/>
    <mergeCell ref="F145:G145"/>
    <mergeCell ref="K137:K138"/>
    <mergeCell ref="B139:C139"/>
    <mergeCell ref="D139:E139"/>
    <mergeCell ref="F139:G139"/>
    <mergeCell ref="B140:E140"/>
    <mergeCell ref="F141:G141"/>
    <mergeCell ref="B137:C138"/>
    <mergeCell ref="D137:E138"/>
    <mergeCell ref="F137:G138"/>
    <mergeCell ref="H137:H138"/>
    <mergeCell ref="I137:I138"/>
    <mergeCell ref="J137:J138"/>
    <mergeCell ref="F131:G131"/>
    <mergeCell ref="H131:I131"/>
    <mergeCell ref="F132:G132"/>
    <mergeCell ref="H132:I132"/>
    <mergeCell ref="A135:M135"/>
    <mergeCell ref="A136:M136"/>
    <mergeCell ref="F128:G128"/>
    <mergeCell ref="H128:I128"/>
    <mergeCell ref="F129:G129"/>
    <mergeCell ref="H129:I129"/>
    <mergeCell ref="F130:G130"/>
    <mergeCell ref="H130:I130"/>
    <mergeCell ref="F125:G125"/>
    <mergeCell ref="H125:I125"/>
    <mergeCell ref="F126:G126"/>
    <mergeCell ref="H126:I126"/>
    <mergeCell ref="F127:G127"/>
    <mergeCell ref="H127:I127"/>
    <mergeCell ref="D122:E122"/>
    <mergeCell ref="F122:G122"/>
    <mergeCell ref="H122:I122"/>
    <mergeCell ref="J122:K122"/>
    <mergeCell ref="H123:I123"/>
    <mergeCell ref="F124:G124"/>
    <mergeCell ref="H124:I124"/>
    <mergeCell ref="H117:I117"/>
    <mergeCell ref="H118:I118"/>
    <mergeCell ref="D120:I120"/>
    <mergeCell ref="D121:E121"/>
    <mergeCell ref="F121:G121"/>
    <mergeCell ref="H121:I121"/>
    <mergeCell ref="H111:I111"/>
    <mergeCell ref="H112:I112"/>
    <mergeCell ref="H113:I113"/>
    <mergeCell ref="H114:I114"/>
    <mergeCell ref="H115:I115"/>
    <mergeCell ref="H116:I116"/>
    <mergeCell ref="H104:I104"/>
    <mergeCell ref="H105:I105"/>
    <mergeCell ref="H106:I106"/>
    <mergeCell ref="H107:I107"/>
    <mergeCell ref="H108:I108"/>
    <mergeCell ref="H109:I109"/>
    <mergeCell ref="D100:E100"/>
    <mergeCell ref="F100:G100"/>
    <mergeCell ref="H100:I100"/>
    <mergeCell ref="J100:K100"/>
    <mergeCell ref="H102:I102"/>
    <mergeCell ref="H103:I103"/>
    <mergeCell ref="A97:M97"/>
    <mergeCell ref="D98:E98"/>
    <mergeCell ref="F98:G98"/>
    <mergeCell ref="H98:I98"/>
    <mergeCell ref="J98:K98"/>
    <mergeCell ref="A99:C99"/>
    <mergeCell ref="D99:E99"/>
    <mergeCell ref="F99:G99"/>
    <mergeCell ref="H99:I99"/>
    <mergeCell ref="J99:K99"/>
    <mergeCell ref="D92:G92"/>
    <mergeCell ref="H92:I92"/>
    <mergeCell ref="H93:I93"/>
    <mergeCell ref="E94:G94"/>
    <mergeCell ref="H94:I94"/>
    <mergeCell ref="A96:M96"/>
    <mergeCell ref="D88:G88"/>
    <mergeCell ref="H88:I88"/>
    <mergeCell ref="O88:P88"/>
    <mergeCell ref="D89:G89"/>
    <mergeCell ref="H89:I89"/>
    <mergeCell ref="B90:G90"/>
    <mergeCell ref="H90:I90"/>
    <mergeCell ref="A91:G91"/>
    <mergeCell ref="H91:I91"/>
    <mergeCell ref="O84:S86"/>
    <mergeCell ref="B86:C86"/>
    <mergeCell ref="D86:G86"/>
    <mergeCell ref="H86:I86"/>
    <mergeCell ref="B87:C87"/>
    <mergeCell ref="D87:G87"/>
    <mergeCell ref="H87:I87"/>
    <mergeCell ref="O87:P87"/>
    <mergeCell ref="Q87:R87"/>
    <mergeCell ref="A83:C83"/>
    <mergeCell ref="D83:E83"/>
    <mergeCell ref="F83:G83"/>
    <mergeCell ref="H83:I83"/>
    <mergeCell ref="J83:K83"/>
    <mergeCell ref="A84:C84"/>
    <mergeCell ref="D84:E84"/>
    <mergeCell ref="F84:G84"/>
    <mergeCell ref="H84:I84"/>
    <mergeCell ref="J84:K84"/>
    <mergeCell ref="A70:M77"/>
    <mergeCell ref="A79:M79"/>
    <mergeCell ref="A80:M80"/>
    <mergeCell ref="A81:M81"/>
    <mergeCell ref="D82:E82"/>
    <mergeCell ref="F82:G82"/>
    <mergeCell ref="H82:I82"/>
    <mergeCell ref="J82:K82"/>
    <mergeCell ref="B64:H64"/>
    <mergeCell ref="B65:H65"/>
    <mergeCell ref="J65:L65"/>
    <mergeCell ref="A66:M66"/>
    <mergeCell ref="A67:M67"/>
    <mergeCell ref="A69:M69"/>
    <mergeCell ref="A52:M52"/>
    <mergeCell ref="A53:M53"/>
    <mergeCell ref="A54:M54"/>
    <mergeCell ref="A55:M55"/>
    <mergeCell ref="A58:M61"/>
    <mergeCell ref="A63:M63"/>
    <mergeCell ref="A49:C49"/>
    <mergeCell ref="D49:E49"/>
    <mergeCell ref="F49:G49"/>
    <mergeCell ref="H49:I49"/>
    <mergeCell ref="J49:K49"/>
    <mergeCell ref="A50:C50"/>
    <mergeCell ref="D50:E50"/>
    <mergeCell ref="F50:G50"/>
    <mergeCell ref="H50:I50"/>
    <mergeCell ref="J50:K50"/>
    <mergeCell ref="A47:C47"/>
    <mergeCell ref="D47:E47"/>
    <mergeCell ref="F47:G47"/>
    <mergeCell ref="H47:I47"/>
    <mergeCell ref="J47:K47"/>
    <mergeCell ref="A48:C48"/>
    <mergeCell ref="D48:E48"/>
    <mergeCell ref="F48:G48"/>
    <mergeCell ref="H48:I48"/>
    <mergeCell ref="J48:K48"/>
    <mergeCell ref="A45:C45"/>
    <mergeCell ref="O45:R46"/>
    <mergeCell ref="A46:C46"/>
    <mergeCell ref="D46:E46"/>
    <mergeCell ref="F46:G46"/>
    <mergeCell ref="H46:I46"/>
    <mergeCell ref="J46:K46"/>
    <mergeCell ref="A43:C43"/>
    <mergeCell ref="D43:E43"/>
    <mergeCell ref="F43:G43"/>
    <mergeCell ref="H43:I43"/>
    <mergeCell ref="J43:K43"/>
    <mergeCell ref="A44:C44"/>
    <mergeCell ref="D44:E44"/>
    <mergeCell ref="F44:G44"/>
    <mergeCell ref="H44:I44"/>
    <mergeCell ref="J44:K44"/>
    <mergeCell ref="A42:C42"/>
    <mergeCell ref="D42:E42"/>
    <mergeCell ref="F42:G42"/>
    <mergeCell ref="H42:I42"/>
    <mergeCell ref="J42:K42"/>
    <mergeCell ref="S42:U42"/>
    <mergeCell ref="A41:C41"/>
    <mergeCell ref="D41:E41"/>
    <mergeCell ref="F41:G41"/>
    <mergeCell ref="H41:I41"/>
    <mergeCell ref="J41:K41"/>
    <mergeCell ref="S41:U41"/>
    <mergeCell ref="A40:C40"/>
    <mergeCell ref="D40:E40"/>
    <mergeCell ref="F40:G40"/>
    <mergeCell ref="H40:I40"/>
    <mergeCell ref="J40:K40"/>
    <mergeCell ref="S40:U40"/>
    <mergeCell ref="A39:C39"/>
    <mergeCell ref="D39:E39"/>
    <mergeCell ref="F39:G39"/>
    <mergeCell ref="H39:I39"/>
    <mergeCell ref="J39:K39"/>
    <mergeCell ref="S39:U39"/>
    <mergeCell ref="S37:U37"/>
    <mergeCell ref="A38:C38"/>
    <mergeCell ref="D38:E38"/>
    <mergeCell ref="F38:G38"/>
    <mergeCell ref="H38:I38"/>
    <mergeCell ref="J38:K38"/>
    <mergeCell ref="S38:U38"/>
    <mergeCell ref="O34:R34"/>
    <mergeCell ref="A35:M35"/>
    <mergeCell ref="D36:K36"/>
    <mergeCell ref="A37:C37"/>
    <mergeCell ref="D37:E37"/>
    <mergeCell ref="F37:G37"/>
    <mergeCell ref="H37:I37"/>
    <mergeCell ref="J37:K37"/>
    <mergeCell ref="A33:C33"/>
    <mergeCell ref="D33:E33"/>
    <mergeCell ref="F33:G33"/>
    <mergeCell ref="H33:I33"/>
    <mergeCell ref="J33:K33"/>
    <mergeCell ref="A34:C34"/>
    <mergeCell ref="D34:E34"/>
    <mergeCell ref="F34:G34"/>
    <mergeCell ref="H34:I34"/>
    <mergeCell ref="J34:K34"/>
    <mergeCell ref="A31:C31"/>
    <mergeCell ref="D31:E31"/>
    <mergeCell ref="F31:G31"/>
    <mergeCell ref="H31:I31"/>
    <mergeCell ref="J31:K31"/>
    <mergeCell ref="A32:C32"/>
    <mergeCell ref="D32:E32"/>
    <mergeCell ref="F32:G32"/>
    <mergeCell ref="H32:I32"/>
    <mergeCell ref="J32:K32"/>
    <mergeCell ref="D24:E24"/>
    <mergeCell ref="F24:G24"/>
    <mergeCell ref="H24:I24"/>
    <mergeCell ref="J24:K24"/>
    <mergeCell ref="J23:K23"/>
    <mergeCell ref="A20:C20"/>
    <mergeCell ref="H20:I20"/>
    <mergeCell ref="D29:K29"/>
    <mergeCell ref="A30:C30"/>
    <mergeCell ref="D30:E30"/>
    <mergeCell ref="F30:G30"/>
    <mergeCell ref="H30:I30"/>
    <mergeCell ref="J30:K30"/>
    <mergeCell ref="A27:C27"/>
    <mergeCell ref="D27:E27"/>
    <mergeCell ref="F27:G27"/>
    <mergeCell ref="H27:I27"/>
    <mergeCell ref="J27:K27"/>
    <mergeCell ref="A28:M28"/>
    <mergeCell ref="A26:C26"/>
    <mergeCell ref="D26:E26"/>
    <mergeCell ref="F26:G26"/>
    <mergeCell ref="H26:I26"/>
    <mergeCell ref="J26:K26"/>
    <mergeCell ref="B18:C18"/>
    <mergeCell ref="H18:I18"/>
    <mergeCell ref="O18:S19"/>
    <mergeCell ref="B19:C19"/>
    <mergeCell ref="H19:I19"/>
    <mergeCell ref="F23:G23"/>
    <mergeCell ref="H23:I23"/>
    <mergeCell ref="S26:U26"/>
    <mergeCell ref="S24:U24"/>
    <mergeCell ref="A25:C25"/>
    <mergeCell ref="D25:E25"/>
    <mergeCell ref="F25:G25"/>
    <mergeCell ref="H25:I25"/>
    <mergeCell ref="J25:K25"/>
    <mergeCell ref="S25:U25"/>
    <mergeCell ref="O20:S20"/>
    <mergeCell ref="A21:M21"/>
    <mergeCell ref="D22:K22"/>
    <mergeCell ref="L22:M27"/>
    <mergeCell ref="O22:R22"/>
    <mergeCell ref="S22:T22"/>
    <mergeCell ref="A23:C23"/>
    <mergeCell ref="D23:E23"/>
    <mergeCell ref="A24:C24"/>
    <mergeCell ref="L8:M8"/>
    <mergeCell ref="L9:M9"/>
    <mergeCell ref="A10:K10"/>
    <mergeCell ref="L10:M10"/>
    <mergeCell ref="B11:C11"/>
    <mergeCell ref="H11:I11"/>
    <mergeCell ref="B12:C12"/>
    <mergeCell ref="H12:I12"/>
    <mergeCell ref="B13:C13"/>
    <mergeCell ref="H13:I13"/>
    <mergeCell ref="O13:S17"/>
    <mergeCell ref="B14:C14"/>
    <mergeCell ref="H14:I14"/>
    <mergeCell ref="B15:C15"/>
    <mergeCell ref="H15:I15"/>
    <mergeCell ref="B16:C16"/>
    <mergeCell ref="H16:I16"/>
    <mergeCell ref="B17:C17"/>
    <mergeCell ref="H17:I17"/>
    <mergeCell ref="A1:M1"/>
    <mergeCell ref="A2:M2"/>
    <mergeCell ref="A3:C3"/>
    <mergeCell ref="D3:I3"/>
    <mergeCell ref="J3:K3"/>
    <mergeCell ref="L3:M3"/>
    <mergeCell ref="O90:S90"/>
    <mergeCell ref="O91:S94"/>
    <mergeCell ref="A6:C6"/>
    <mergeCell ref="D6:I6"/>
    <mergeCell ref="J6:K6"/>
    <mergeCell ref="L6:M6"/>
    <mergeCell ref="A7:C7"/>
    <mergeCell ref="D7:I7"/>
    <mergeCell ref="J7:K7"/>
    <mergeCell ref="L7:M7"/>
    <mergeCell ref="A4:C4"/>
    <mergeCell ref="D4:I4"/>
    <mergeCell ref="J4:K4"/>
    <mergeCell ref="L4:M4"/>
    <mergeCell ref="A5:C5"/>
    <mergeCell ref="D5:I5"/>
    <mergeCell ref="J5:K5"/>
    <mergeCell ref="L5:M5"/>
  </mergeCells>
  <dataValidations count="14">
    <dataValidation type="list" allowBlank="1" showInputMessage="1" showErrorMessage="1" sqref="L5:M5" xr:uid="{D8660FEC-86F8-4765-A876-AF669EE1A54A}">
      <formula1>$Z$1:$Z$105</formula1>
    </dataValidation>
    <dataValidation type="list" errorStyle="warning" allowBlank="1" showInputMessage="1" showErrorMessage="1" error="Choose entry from drop down or cancel and press delete." sqref="B12:C19" xr:uid="{3F7D483B-2325-456B-B123-EE0386A620AE}">
      <formula1>$W$2:$W$9</formula1>
    </dataValidation>
    <dataValidation type="list" errorStyle="warning" allowBlank="1" showInputMessage="1" showErrorMessage="1" error="Choose entry from drop down or cancel and press delete." sqref="A12:A19" xr:uid="{F6654556-EE57-4318-988B-87FA7A933B9B}">
      <formula1>$U$2:$U$7</formula1>
    </dataValidation>
    <dataValidation type="whole" operator="lessThan" allowBlank="1" showInputMessage="1" showErrorMessage="1" error="Enter a number greater than 0 or cancel and delete entry." sqref="L14:M19" xr:uid="{97B5A461-E05E-44FC-9A6B-98FA1AD28D31}">
      <formula1>1000</formula1>
    </dataValidation>
    <dataValidation type="whole" operator="greaterThan" allowBlank="1" showInputMessage="1" showErrorMessage="1" error="Enter a number greater than 0 or cancel and delete entry." sqref="F12:F19" xr:uid="{EAA87929-1163-49A9-AB9A-E74593E0967A}">
      <formula1>-1</formula1>
    </dataValidation>
    <dataValidation type="list" allowBlank="1" showInputMessage="1" showErrorMessage="1" error="Choose entry from drop down or cancel and press delete." sqref="G12:G19" xr:uid="{64B2820C-97C8-4F06-8F68-61891D220AD3}">
      <formula1>$V$2:$V$8</formula1>
    </dataValidation>
    <dataValidation type="whole" operator="greaterThan" allowBlank="1" showInputMessage="1" showErrorMessage="1" error="Enter a number greater than 0 or cancel and delete entry." sqref="J14:J19 H12:H19" xr:uid="{1C22CD7C-E7B2-4F25-A9D5-B82876C39C85}">
      <formula1>0</formula1>
    </dataValidation>
    <dataValidation type="whole" allowBlank="1" showInputMessage="1" showErrorMessage="1" error="Enter a number greater than 0 or cancel and delete entry." sqref="L12:M13" xr:uid="{4F2FCE74-68FA-41EB-AC60-2185398C656C}">
      <formula1>0</formula1>
      <formula2>5000</formula2>
    </dataValidation>
    <dataValidation type="whole" operator="greaterThan" allowBlank="1" showInputMessage="1" showErrorMessage="1" sqref="J12:J13" xr:uid="{63F2AA19-8D5B-4154-87E2-07AF9AE1A267}">
      <formula1>0</formula1>
    </dataValidation>
    <dataValidation type="list" allowBlank="1" showInputMessage="1" showErrorMessage="1" sqref="O87:P87" xr:uid="{5C907D6F-F61A-4AF2-AA22-78BD904BD917}">
      <formula1>$U$85:$U$93</formula1>
    </dataValidation>
    <dataValidation type="list" allowBlank="1" showInputMessage="1" showErrorMessage="1" sqref="D23:I23" xr:uid="{AA9FDECA-ADEE-400D-BDB8-94B7F915103E}">
      <formula1>$X$1:$X$10</formula1>
    </dataValidation>
    <dataValidation type="list" errorStyle="warning" allowBlank="1" showInputMessage="1" showErrorMessage="1" error="Choose entry from drop down or cancel and press delete." sqref="D12:D19" xr:uid="{5B13636A-6856-44D9-91DD-7348D82E064A}">
      <formula1>$Y$2:$Y$9</formula1>
    </dataValidation>
    <dataValidation type="list" allowBlank="1" showInputMessage="1" showErrorMessage="1" sqref="B139" xr:uid="{FE28AE8D-4723-4067-BD05-A793F6FF1B59}">
      <formula1>$W$138:$W$140</formula1>
    </dataValidation>
    <dataValidation type="list" allowBlank="1" showInputMessage="1" showErrorMessage="1" sqref="D139:E139" xr:uid="{3E005BFD-4D4A-40C1-9FB1-29A3B8FBBBBF}">
      <formula1>$H$139:$H$147</formula1>
    </dataValidation>
  </dataValidations>
  <printOptions horizontalCentered="1"/>
  <pageMargins left="0.25" right="0.25" top="0.5" bottom="0.3" header="0.3" footer="0.3"/>
  <pageSetup orientation="portrait" r:id="rId1"/>
  <headerFooter>
    <oddHeader xml:space="preserve">&amp;C&amp;"Arial,Bold"&amp;14
</oddHeader>
    <oddFooter>&amp;RRev. 10/2023</oddFooter>
  </headerFooter>
  <rowBreaks count="3" manualBreakCount="3">
    <brk id="51" max="16383" man="1"/>
    <brk id="94" max="12" man="1"/>
    <brk id="1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4</xdr:col>
                    <xdr:colOff>342900</xdr:colOff>
                    <xdr:row>7</xdr:row>
                    <xdr:rowOff>38100</xdr:rowOff>
                  </from>
                  <to>
                    <xdr:col>5</xdr:col>
                    <xdr:colOff>66675</xdr:colOff>
                    <xdr:row>7</xdr:row>
                    <xdr:rowOff>209550</xdr:rowOff>
                  </to>
                </anchor>
              </controlPr>
            </control>
          </mc:Choice>
        </mc:AlternateContent>
        <mc:AlternateContent xmlns:mc="http://schemas.openxmlformats.org/markup-compatibility/2006">
          <mc:Choice Requires="x14">
            <control shapeId="120835" r:id="rId5" name="Check Box 3">
              <controlPr defaultSize="0" autoFill="0" autoLine="0" autoPict="0">
                <anchor moveWithCells="1">
                  <from>
                    <xdr:col>8</xdr:col>
                    <xdr:colOff>352425</xdr:colOff>
                    <xdr:row>7</xdr:row>
                    <xdr:rowOff>28575</xdr:rowOff>
                  </from>
                  <to>
                    <xdr:col>9</xdr:col>
                    <xdr:colOff>19050</xdr:colOff>
                    <xdr:row>7</xdr:row>
                    <xdr:rowOff>209550</xdr:rowOff>
                  </to>
                </anchor>
              </controlPr>
            </control>
          </mc:Choice>
        </mc:AlternateContent>
        <mc:AlternateContent xmlns:mc="http://schemas.openxmlformats.org/markup-compatibility/2006">
          <mc:Choice Requires="x14">
            <control shapeId="120836" r:id="rId6" name="Check Box 4">
              <controlPr defaultSize="0" autoFill="0" autoLine="0" autoPict="0">
                <anchor moveWithCells="1">
                  <from>
                    <xdr:col>10</xdr:col>
                    <xdr:colOff>285750</xdr:colOff>
                    <xdr:row>7</xdr:row>
                    <xdr:rowOff>9525</xdr:rowOff>
                  </from>
                  <to>
                    <xdr:col>10</xdr:col>
                    <xdr:colOff>457200</xdr:colOff>
                    <xdr:row>7</xdr:row>
                    <xdr:rowOff>209550</xdr:rowOff>
                  </to>
                </anchor>
              </controlPr>
            </control>
          </mc:Choice>
        </mc:AlternateContent>
        <mc:AlternateContent xmlns:mc="http://schemas.openxmlformats.org/markup-compatibility/2006">
          <mc:Choice Requires="x14">
            <control shapeId="120838" r:id="rId7" name="Check Box 6">
              <controlPr defaultSize="0" autoFill="0" autoLine="0" autoPict="0">
                <anchor moveWithCells="1">
                  <from>
                    <xdr:col>5</xdr:col>
                    <xdr:colOff>438150</xdr:colOff>
                    <xdr:row>8</xdr:row>
                    <xdr:rowOff>57150</xdr:rowOff>
                  </from>
                  <to>
                    <xdr:col>6</xdr:col>
                    <xdr:colOff>85725</xdr:colOff>
                    <xdr:row>8</xdr:row>
                    <xdr:rowOff>200025</xdr:rowOff>
                  </to>
                </anchor>
              </controlPr>
            </control>
          </mc:Choice>
        </mc:AlternateContent>
        <mc:AlternateContent xmlns:mc="http://schemas.openxmlformats.org/markup-compatibility/2006">
          <mc:Choice Requires="x14">
            <control shapeId="120839" r:id="rId8" name="Check Box 7">
              <controlPr defaultSize="0" autoFill="0" autoLine="0" autoPict="0">
                <anchor moveWithCells="1">
                  <from>
                    <xdr:col>7</xdr:col>
                    <xdr:colOff>295275</xdr:colOff>
                    <xdr:row>8</xdr:row>
                    <xdr:rowOff>57150</xdr:rowOff>
                  </from>
                  <to>
                    <xdr:col>7</xdr:col>
                    <xdr:colOff>476250</xdr:colOff>
                    <xdr:row>8</xdr:row>
                    <xdr:rowOff>200025</xdr:rowOff>
                  </to>
                </anchor>
              </controlPr>
            </control>
          </mc:Choice>
        </mc:AlternateContent>
        <mc:AlternateContent xmlns:mc="http://schemas.openxmlformats.org/markup-compatibility/2006">
          <mc:Choice Requires="x14">
            <control shapeId="120847" r:id="rId9" name="Check Box 15">
              <controlPr defaultSize="0" autoFill="0" autoLine="0" autoPict="0">
                <anchor moveWithCells="1">
                  <from>
                    <xdr:col>7</xdr:col>
                    <xdr:colOff>114300</xdr:colOff>
                    <xdr:row>7</xdr:row>
                    <xdr:rowOff>19050</xdr:rowOff>
                  </from>
                  <to>
                    <xdr:col>7</xdr:col>
                    <xdr:colOff>285750</xdr:colOff>
                    <xdr:row>7</xdr:row>
                    <xdr:rowOff>219075</xdr:rowOff>
                  </to>
                </anchor>
              </controlPr>
            </control>
          </mc:Choice>
        </mc:AlternateContent>
        <mc:AlternateContent xmlns:mc="http://schemas.openxmlformats.org/markup-compatibility/2006">
          <mc:Choice Requires="x14">
            <control shapeId="120848" r:id="rId10" name="Check Box 16">
              <controlPr defaultSize="0" autoFill="0" autoLine="0" autoPict="0">
                <anchor moveWithCells="1">
                  <from>
                    <xdr:col>3</xdr:col>
                    <xdr:colOff>266700</xdr:colOff>
                    <xdr:row>8</xdr:row>
                    <xdr:rowOff>28575</xdr:rowOff>
                  </from>
                  <to>
                    <xdr:col>3</xdr:col>
                    <xdr:colOff>466725</xdr:colOff>
                    <xdr:row>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1E6C9C6-5C58-46A5-8568-3527FCD3E80C}">
          <x14:formula1>
            <xm:f>IREMEx!$A$4:$A$17</xm:f>
          </x14:formula1>
          <xm:sqref>O22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BQ21"/>
  <sheetViews>
    <sheetView topLeftCell="A20" workbookViewId="0">
      <selection activeCell="A19" sqref="A1:XFD19"/>
    </sheetView>
  </sheetViews>
  <sheetFormatPr defaultColWidth="9.33203125" defaultRowHeight="16.5" customHeight="1" x14ac:dyDescent="0.2"/>
  <cols>
    <col min="1" max="1" width="51.1640625" style="58" bestFit="1" customWidth="1"/>
    <col min="2" max="2" width="9.33203125" style="58"/>
    <col min="3" max="3" width="20.1640625" style="58" bestFit="1" customWidth="1"/>
    <col min="4" max="4" width="9.33203125" style="58"/>
    <col min="5" max="6" width="9.33203125" style="117"/>
    <col min="7" max="8" width="9.33203125" style="58"/>
    <col min="9" max="11" width="9.33203125" style="117"/>
    <col min="12" max="12" width="9.33203125" style="118"/>
    <col min="13" max="15" width="9.33203125" style="117"/>
    <col min="16" max="23" width="9.33203125" style="58"/>
    <col min="24" max="24" width="9.33203125" style="118"/>
    <col min="25" max="27" width="9.33203125" style="58"/>
    <col min="28" max="28" width="9.33203125" style="119"/>
    <col min="29" max="31" width="9.33203125" style="58"/>
    <col min="32" max="36" width="9.33203125" style="118"/>
    <col min="37" max="41" width="9.33203125" style="58"/>
    <col min="42" max="42" width="9.33203125" style="117"/>
    <col min="43" max="43" width="11" style="58" bestFit="1" customWidth="1"/>
    <col min="44" max="67" width="9.33203125" style="58"/>
    <col min="68" max="68" width="14.6640625" style="58" customWidth="1"/>
    <col min="69" max="69" width="14.5" style="58" bestFit="1" customWidth="1"/>
    <col min="70" max="16384" width="9.33203125" style="58"/>
  </cols>
  <sheetData>
    <row r="1" spans="1:69" s="4" customFormat="1" ht="11.25" hidden="1" x14ac:dyDescent="0.2">
      <c r="A1" s="3">
        <v>1</v>
      </c>
      <c r="B1" s="3">
        <v>2</v>
      </c>
      <c r="C1" s="3">
        <v>3</v>
      </c>
      <c r="D1" s="3">
        <v>4</v>
      </c>
      <c r="E1" s="3">
        <v>5</v>
      </c>
      <c r="F1" s="3">
        <v>6</v>
      </c>
      <c r="G1" s="3">
        <v>7</v>
      </c>
      <c r="H1" s="3">
        <v>8</v>
      </c>
      <c r="I1" s="3">
        <v>9</v>
      </c>
      <c r="J1" s="3">
        <v>10</v>
      </c>
      <c r="K1" s="3">
        <v>11</v>
      </c>
      <c r="L1" s="3">
        <v>12</v>
      </c>
      <c r="M1" s="3">
        <v>13</v>
      </c>
      <c r="N1" s="3">
        <v>14</v>
      </c>
      <c r="O1" s="3">
        <v>15</v>
      </c>
      <c r="P1" s="3">
        <v>16</v>
      </c>
      <c r="Q1" s="3">
        <v>17</v>
      </c>
      <c r="R1" s="3">
        <v>18</v>
      </c>
      <c r="S1" s="3">
        <v>19</v>
      </c>
      <c r="T1" s="3">
        <v>20</v>
      </c>
      <c r="U1" s="3">
        <v>21</v>
      </c>
      <c r="V1" s="3">
        <v>22</v>
      </c>
      <c r="W1" s="3">
        <v>23</v>
      </c>
      <c r="X1" s="3">
        <v>24</v>
      </c>
      <c r="Y1" s="3">
        <v>25</v>
      </c>
      <c r="Z1" s="3">
        <v>26</v>
      </c>
      <c r="AA1" s="3">
        <v>27</v>
      </c>
      <c r="AB1" s="3">
        <v>28</v>
      </c>
      <c r="AC1" s="3">
        <v>29</v>
      </c>
      <c r="AD1" s="3">
        <v>30</v>
      </c>
      <c r="AE1" s="3">
        <v>31</v>
      </c>
      <c r="AF1" s="3">
        <v>32</v>
      </c>
      <c r="AG1" s="3">
        <v>33</v>
      </c>
      <c r="AH1" s="3">
        <v>34</v>
      </c>
      <c r="AI1" s="3">
        <v>35</v>
      </c>
      <c r="AJ1" s="3">
        <v>36</v>
      </c>
      <c r="AK1" s="3">
        <v>37</v>
      </c>
      <c r="AL1" s="3">
        <v>38</v>
      </c>
      <c r="AM1" s="3">
        <v>39</v>
      </c>
      <c r="AN1" s="3">
        <v>40</v>
      </c>
      <c r="AO1" s="3">
        <v>41</v>
      </c>
      <c r="AP1" s="3">
        <v>42</v>
      </c>
      <c r="AQ1" s="3">
        <v>43</v>
      </c>
      <c r="AR1" s="3">
        <v>44</v>
      </c>
      <c r="AS1" s="3">
        <v>45</v>
      </c>
      <c r="AT1" s="3">
        <v>46</v>
      </c>
      <c r="AU1" s="3">
        <v>47</v>
      </c>
      <c r="AV1" s="3">
        <v>48</v>
      </c>
      <c r="AW1" s="3">
        <v>49</v>
      </c>
      <c r="AX1" s="3">
        <v>50</v>
      </c>
      <c r="AY1" s="3">
        <v>51</v>
      </c>
      <c r="AZ1" s="3">
        <v>52</v>
      </c>
      <c r="BA1" s="3">
        <v>53</v>
      </c>
      <c r="BB1" s="3">
        <v>54</v>
      </c>
      <c r="BC1" s="3">
        <v>55</v>
      </c>
      <c r="BD1" s="3">
        <v>56</v>
      </c>
      <c r="BE1" s="3">
        <v>57</v>
      </c>
      <c r="BF1" s="3">
        <v>58</v>
      </c>
      <c r="BG1" s="3">
        <v>59</v>
      </c>
      <c r="BH1" s="3">
        <v>60</v>
      </c>
      <c r="BI1" s="3">
        <v>61</v>
      </c>
      <c r="BJ1" s="3">
        <v>62</v>
      </c>
      <c r="BK1" s="3">
        <v>63</v>
      </c>
      <c r="BL1" s="3">
        <v>64</v>
      </c>
      <c r="BM1" s="3">
        <v>65</v>
      </c>
      <c r="BN1" s="3">
        <v>66</v>
      </c>
      <c r="BO1" s="3">
        <v>67</v>
      </c>
    </row>
    <row r="2" spans="1:69" s="3" customFormat="1" ht="16.5" hidden="1" customHeight="1" x14ac:dyDescent="0.2">
      <c r="A2" s="4"/>
      <c r="B2" s="4"/>
      <c r="C2" s="3" t="s">
        <v>66</v>
      </c>
      <c r="D2" s="3" t="s">
        <v>53</v>
      </c>
      <c r="E2" s="3" t="s">
        <v>67</v>
      </c>
      <c r="F2" s="3" t="s">
        <v>68</v>
      </c>
      <c r="G2" s="3" t="s">
        <v>68</v>
      </c>
      <c r="H2" s="3" t="s">
        <v>69</v>
      </c>
      <c r="I2" s="688" t="s">
        <v>70</v>
      </c>
      <c r="J2" s="689"/>
      <c r="K2" s="689"/>
      <c r="L2" s="690"/>
      <c r="M2" s="688" t="s">
        <v>48</v>
      </c>
      <c r="N2" s="689"/>
      <c r="O2" s="689"/>
      <c r="P2" s="690"/>
      <c r="Q2" s="688" t="s">
        <v>49</v>
      </c>
      <c r="R2" s="689"/>
      <c r="S2" s="689"/>
      <c r="T2" s="690"/>
      <c r="U2" s="695" t="s">
        <v>342</v>
      </c>
      <c r="V2" s="696"/>
      <c r="W2" s="696"/>
      <c r="X2" s="697"/>
      <c r="Y2" s="698" t="s">
        <v>6</v>
      </c>
      <c r="Z2" s="699"/>
      <c r="AA2" s="699"/>
      <c r="AB2" s="700"/>
      <c r="AC2" s="701" t="s">
        <v>50</v>
      </c>
      <c r="AD2" s="702"/>
      <c r="AE2" s="702"/>
      <c r="AF2" s="703"/>
      <c r="AG2" s="704" t="s">
        <v>64</v>
      </c>
      <c r="AH2" s="705"/>
      <c r="AI2" s="705"/>
      <c r="AJ2" s="706"/>
      <c r="AK2" s="708" t="s">
        <v>71</v>
      </c>
      <c r="AL2" s="709"/>
      <c r="AM2" s="710"/>
      <c r="AN2" s="671" t="s">
        <v>72</v>
      </c>
      <c r="AO2" s="672"/>
      <c r="AP2" s="672"/>
      <c r="AQ2" s="707"/>
      <c r="AR2" s="685" t="s">
        <v>51</v>
      </c>
      <c r="AS2" s="686"/>
      <c r="AT2" s="686"/>
      <c r="AU2" s="687"/>
      <c r="AV2" s="692" t="s">
        <v>37</v>
      </c>
      <c r="AW2" s="693"/>
      <c r="AX2" s="693"/>
      <c r="AY2" s="694"/>
      <c r="AZ2" s="673" t="s">
        <v>73</v>
      </c>
      <c r="BA2" s="674"/>
      <c r="BB2" s="674"/>
      <c r="BC2" s="675"/>
      <c r="BD2" s="676" t="s">
        <v>74</v>
      </c>
      <c r="BE2" s="677"/>
      <c r="BF2" s="677"/>
      <c r="BG2" s="678"/>
      <c r="BH2" s="679" t="s">
        <v>94</v>
      </c>
      <c r="BI2" s="680"/>
      <c r="BJ2" s="680"/>
      <c r="BK2" s="681"/>
      <c r="BL2" s="682" t="s">
        <v>95</v>
      </c>
      <c r="BM2" s="683"/>
      <c r="BN2" s="683"/>
      <c r="BO2" s="684"/>
      <c r="BP2" s="671" t="s">
        <v>72</v>
      </c>
      <c r="BQ2" s="672"/>
    </row>
    <row r="3" spans="1:69" s="19" customFormat="1" ht="16.5" hidden="1" customHeight="1" thickBot="1" x14ac:dyDescent="0.25">
      <c r="A3" s="5" t="s">
        <v>52</v>
      </c>
      <c r="B3" s="6" t="s">
        <v>75</v>
      </c>
      <c r="C3" s="6" t="s">
        <v>76</v>
      </c>
      <c r="D3" s="6" t="s">
        <v>77</v>
      </c>
      <c r="E3" s="5" t="s">
        <v>78</v>
      </c>
      <c r="F3" s="5" t="s">
        <v>79</v>
      </c>
      <c r="G3" s="5" t="s">
        <v>28</v>
      </c>
      <c r="H3" s="5" t="s">
        <v>28</v>
      </c>
      <c r="I3" s="7" t="s">
        <v>54</v>
      </c>
      <c r="J3" s="7" t="s">
        <v>55</v>
      </c>
      <c r="K3" s="7" t="s">
        <v>56</v>
      </c>
      <c r="L3" s="8" t="s">
        <v>80</v>
      </c>
      <c r="M3" s="7" t="s">
        <v>54</v>
      </c>
      <c r="N3" s="7" t="s">
        <v>55</v>
      </c>
      <c r="O3" s="7" t="s">
        <v>56</v>
      </c>
      <c r="P3" s="7" t="s">
        <v>80</v>
      </c>
      <c r="Q3" s="7" t="s">
        <v>54</v>
      </c>
      <c r="R3" s="7" t="s">
        <v>55</v>
      </c>
      <c r="S3" s="7" t="s">
        <v>56</v>
      </c>
      <c r="T3" s="7" t="s">
        <v>80</v>
      </c>
      <c r="U3" s="9" t="s">
        <v>54</v>
      </c>
      <c r="V3" s="9" t="s">
        <v>55</v>
      </c>
      <c r="W3" s="9" t="s">
        <v>56</v>
      </c>
      <c r="X3" s="10" t="s">
        <v>80</v>
      </c>
      <c r="Y3" s="11" t="s">
        <v>54</v>
      </c>
      <c r="Z3" s="11" t="s">
        <v>55</v>
      </c>
      <c r="AA3" s="11" t="s">
        <v>56</v>
      </c>
      <c r="AB3" s="12" t="s">
        <v>80</v>
      </c>
      <c r="AC3" s="13" t="s">
        <v>54</v>
      </c>
      <c r="AD3" s="13" t="s">
        <v>55</v>
      </c>
      <c r="AE3" s="13" t="s">
        <v>56</v>
      </c>
      <c r="AF3" s="14" t="s">
        <v>80</v>
      </c>
      <c r="AG3" s="351" t="s">
        <v>54</v>
      </c>
      <c r="AH3" s="351" t="s">
        <v>55</v>
      </c>
      <c r="AI3" s="351" t="s">
        <v>56</v>
      </c>
      <c r="AJ3" s="352" t="s">
        <v>80</v>
      </c>
      <c r="AK3" s="15" t="s">
        <v>54</v>
      </c>
      <c r="AL3" s="15" t="s">
        <v>55</v>
      </c>
      <c r="AM3" s="15" t="s">
        <v>56</v>
      </c>
      <c r="AN3" s="366" t="s">
        <v>81</v>
      </c>
      <c r="AO3" s="366" t="s">
        <v>82</v>
      </c>
      <c r="AP3" s="367" t="s">
        <v>83</v>
      </c>
      <c r="AQ3" s="368" t="s">
        <v>245</v>
      </c>
      <c r="AR3" s="16" t="s">
        <v>54</v>
      </c>
      <c r="AS3" s="16" t="s">
        <v>55</v>
      </c>
      <c r="AT3" s="16" t="s">
        <v>56</v>
      </c>
      <c r="AU3" s="16" t="s">
        <v>80</v>
      </c>
      <c r="AV3" s="17" t="s">
        <v>54</v>
      </c>
      <c r="AW3" s="17" t="s">
        <v>55</v>
      </c>
      <c r="AX3" s="17" t="s">
        <v>56</v>
      </c>
      <c r="AY3" s="17" t="s">
        <v>80</v>
      </c>
      <c r="AZ3" s="18" t="s">
        <v>54</v>
      </c>
      <c r="BA3" s="18" t="s">
        <v>55</v>
      </c>
      <c r="BB3" s="18" t="s">
        <v>56</v>
      </c>
      <c r="BC3" s="18" t="s">
        <v>80</v>
      </c>
      <c r="BD3" s="392" t="s">
        <v>54</v>
      </c>
      <c r="BE3" s="392" t="s">
        <v>55</v>
      </c>
      <c r="BF3" s="392" t="s">
        <v>56</v>
      </c>
      <c r="BG3" s="392" t="s">
        <v>80</v>
      </c>
      <c r="BH3" s="393" t="s">
        <v>54</v>
      </c>
      <c r="BI3" s="393" t="s">
        <v>55</v>
      </c>
      <c r="BJ3" s="393" t="s">
        <v>56</v>
      </c>
      <c r="BK3" s="393" t="s">
        <v>80</v>
      </c>
      <c r="BL3" s="394" t="s">
        <v>54</v>
      </c>
      <c r="BM3" s="394" t="s">
        <v>55</v>
      </c>
      <c r="BN3" s="394" t="s">
        <v>56</v>
      </c>
      <c r="BO3" s="394" t="s">
        <v>80</v>
      </c>
      <c r="BP3" s="366" t="s">
        <v>246</v>
      </c>
      <c r="BQ3" s="366" t="s">
        <v>247</v>
      </c>
    </row>
    <row r="4" spans="1:69" s="19" customFormat="1" ht="16.5" hidden="1" customHeight="1" x14ac:dyDescent="0.2">
      <c r="A4" s="129" t="s">
        <v>398</v>
      </c>
      <c r="B4" s="58" t="s">
        <v>84</v>
      </c>
      <c r="C4" s="20" t="s">
        <v>360</v>
      </c>
      <c r="D4" s="19" t="s">
        <v>85</v>
      </c>
      <c r="E4" s="21">
        <v>2019</v>
      </c>
      <c r="F4" s="22">
        <v>55</v>
      </c>
      <c r="G4" s="22">
        <v>4924</v>
      </c>
      <c r="H4" s="22">
        <f>G4/F4</f>
        <v>89.527272727272731</v>
      </c>
      <c r="I4" s="23">
        <v>8.02</v>
      </c>
      <c r="J4" s="23">
        <v>6.44</v>
      </c>
      <c r="K4" s="23">
        <v>10.210000000000001</v>
      </c>
      <c r="L4" s="24">
        <v>7266</v>
      </c>
      <c r="M4" s="25">
        <v>0.25</v>
      </c>
      <c r="N4" s="25">
        <v>0.14000000000000001</v>
      </c>
      <c r="O4" s="25">
        <v>0.33</v>
      </c>
      <c r="P4" s="24">
        <v>217</v>
      </c>
      <c r="Q4" s="25">
        <v>0.17</v>
      </c>
      <c r="R4" s="25">
        <v>0.09</v>
      </c>
      <c r="S4" s="25">
        <v>0.25</v>
      </c>
      <c r="T4" s="26">
        <v>176</v>
      </c>
      <c r="U4" s="27">
        <v>5.5E-2</v>
      </c>
      <c r="V4" s="27">
        <v>2.8000000000000001E-2</v>
      </c>
      <c r="W4" s="27">
        <v>0.10199999999999999</v>
      </c>
      <c r="X4" s="28">
        <v>364</v>
      </c>
      <c r="Y4" s="29">
        <v>4.9000000000000002E-2</v>
      </c>
      <c r="Z4" s="29">
        <v>4.3999999999999997E-2</v>
      </c>
      <c r="AA4" s="29">
        <v>5.7000000000000002E-2</v>
      </c>
      <c r="AB4" s="30">
        <v>398</v>
      </c>
      <c r="AC4" s="31">
        <v>6.9000000000000006E-2</v>
      </c>
      <c r="AD4" s="31">
        <v>0.03</v>
      </c>
      <c r="AE4" s="31">
        <v>0.13300000000000001</v>
      </c>
      <c r="AF4" s="32">
        <v>452</v>
      </c>
      <c r="AG4" s="353">
        <v>9.5000000000000001E-2</v>
      </c>
      <c r="AH4" s="353">
        <v>4.3999999999999997E-2</v>
      </c>
      <c r="AI4" s="353">
        <v>0.125</v>
      </c>
      <c r="AJ4" s="354">
        <v>667</v>
      </c>
      <c r="AK4" s="33">
        <v>0.111</v>
      </c>
      <c r="AL4" s="33">
        <v>8.4000000000000005E-2</v>
      </c>
      <c r="AM4" s="33">
        <v>0.13300000000000001</v>
      </c>
      <c r="AN4" s="369">
        <v>0.17820000000000003</v>
      </c>
      <c r="AO4" s="369">
        <v>0.1129</v>
      </c>
      <c r="AP4" s="370">
        <v>6.3600000000000018E-2</v>
      </c>
      <c r="AQ4" s="371">
        <v>836</v>
      </c>
      <c r="AR4" s="34">
        <v>8.5999999999999993E-2</v>
      </c>
      <c r="AS4" s="34">
        <v>6.8000000000000005E-2</v>
      </c>
      <c r="AT4" s="34">
        <v>0.122</v>
      </c>
      <c r="AU4" s="35">
        <v>791</v>
      </c>
      <c r="AV4" s="36">
        <v>0.04</v>
      </c>
      <c r="AW4" s="36">
        <v>2.9000000000000001E-2</v>
      </c>
      <c r="AX4" s="36">
        <v>4.9000000000000002E-2</v>
      </c>
      <c r="AY4" s="37">
        <v>311</v>
      </c>
      <c r="AZ4" s="38">
        <v>6.2E-2</v>
      </c>
      <c r="BA4" s="38">
        <v>0.03</v>
      </c>
      <c r="BB4" s="38">
        <v>9.1999999999999998E-2</v>
      </c>
      <c r="BC4" s="39">
        <v>526</v>
      </c>
      <c r="BD4" s="395">
        <f>I4+M4</f>
        <v>8.27</v>
      </c>
      <c r="BE4" s="395">
        <f t="shared" ref="BE4:BG19" si="0">J4+N4</f>
        <v>6.58</v>
      </c>
      <c r="BF4" s="395">
        <f t="shared" si="0"/>
        <v>10.540000000000001</v>
      </c>
      <c r="BG4" s="396">
        <f>L4+P4</f>
        <v>7483</v>
      </c>
      <c r="BH4" s="397">
        <f>Y4+AC4+AG4+AK4+AR4+AV4</f>
        <v>0.45</v>
      </c>
      <c r="BI4" s="397">
        <f>Z4+AD4+AH4+AL4+AS4+AW4</f>
        <v>0.29900000000000004</v>
      </c>
      <c r="BJ4" s="397">
        <v>0.47859999999999997</v>
      </c>
      <c r="BK4" s="398">
        <v>2676</v>
      </c>
      <c r="BL4" s="399">
        <v>0.5213000000000001</v>
      </c>
      <c r="BM4" s="399">
        <v>0.28500000000000003</v>
      </c>
      <c r="BN4" s="399">
        <v>0.47859999999999997</v>
      </c>
      <c r="BO4" s="400">
        <v>3127</v>
      </c>
      <c r="BP4" s="401">
        <v>1336</v>
      </c>
      <c r="BQ4" s="401">
        <v>776</v>
      </c>
    </row>
    <row r="5" spans="1:69" s="19" customFormat="1" ht="16.5" hidden="1" customHeight="1" x14ac:dyDescent="0.2">
      <c r="A5" s="19" t="s">
        <v>371</v>
      </c>
      <c r="B5" s="58" t="s">
        <v>84</v>
      </c>
      <c r="C5" s="20" t="s">
        <v>369</v>
      </c>
      <c r="D5" s="20" t="s">
        <v>86</v>
      </c>
      <c r="E5" s="21">
        <v>2019</v>
      </c>
      <c r="F5" s="22">
        <v>14</v>
      </c>
      <c r="G5" s="22">
        <v>992</v>
      </c>
      <c r="H5" s="22">
        <f t="shared" ref="H5:H16" si="1">G5/F5</f>
        <v>70.857142857142861</v>
      </c>
      <c r="I5" s="40">
        <v>16.350000000000001</v>
      </c>
      <c r="J5" s="40">
        <v>14.58</v>
      </c>
      <c r="K5" s="40">
        <v>17.16</v>
      </c>
      <c r="L5" s="41">
        <v>8469</v>
      </c>
      <c r="M5" s="42">
        <v>0.84</v>
      </c>
      <c r="N5" s="42">
        <v>0.63</v>
      </c>
      <c r="O5" s="42">
        <v>1.31</v>
      </c>
      <c r="P5" s="43">
        <v>417</v>
      </c>
      <c r="Q5" s="40">
        <v>0</v>
      </c>
      <c r="R5" s="40">
        <v>0</v>
      </c>
      <c r="S5" s="40">
        <v>0</v>
      </c>
      <c r="T5" s="40">
        <v>0</v>
      </c>
      <c r="U5" s="44">
        <v>3.2000000000000001E-2</v>
      </c>
      <c r="V5" s="44">
        <v>1.2999999999999999E-2</v>
      </c>
      <c r="W5" s="44">
        <v>4.3999999999999997E-2</v>
      </c>
      <c r="X5" s="45">
        <v>310</v>
      </c>
      <c r="Y5" s="46">
        <v>0.05</v>
      </c>
      <c r="Z5" s="46">
        <v>4.5999999999999999E-2</v>
      </c>
      <c r="AA5" s="46">
        <v>5.2999999999999999E-2</v>
      </c>
      <c r="AB5" s="47">
        <v>462</v>
      </c>
      <c r="AC5" s="48">
        <v>0.14699999999999999</v>
      </c>
      <c r="AD5" s="48">
        <v>0.13700000000000001</v>
      </c>
      <c r="AE5" s="48">
        <v>0.17799999999999999</v>
      </c>
      <c r="AF5" s="49">
        <v>1453</v>
      </c>
      <c r="AG5" s="355">
        <v>5.3999999999999999E-2</v>
      </c>
      <c r="AH5" s="355">
        <v>4.2999999999999997E-2</v>
      </c>
      <c r="AI5" s="355">
        <v>5.8000000000000003E-2</v>
      </c>
      <c r="AJ5" s="356">
        <v>534</v>
      </c>
      <c r="AK5" s="50">
        <v>0.121</v>
      </c>
      <c r="AL5" s="50">
        <v>0.109</v>
      </c>
      <c r="AM5" s="50">
        <v>0.13900000000000001</v>
      </c>
      <c r="AN5" s="372">
        <v>0.1348</v>
      </c>
      <c r="AO5" s="372">
        <v>0.10730000000000001</v>
      </c>
      <c r="AP5" s="373">
        <v>2.7499999999999997E-2</v>
      </c>
      <c r="AQ5" s="374">
        <v>1170</v>
      </c>
      <c r="AR5" s="51">
        <v>5.8999999999999997E-2</v>
      </c>
      <c r="AS5" s="51">
        <v>4.4999999999999998E-2</v>
      </c>
      <c r="AT5" s="51">
        <v>9.0999999999999998E-2</v>
      </c>
      <c r="AU5" s="52">
        <v>564</v>
      </c>
      <c r="AV5" s="53">
        <v>4.2999999999999997E-2</v>
      </c>
      <c r="AW5" s="53">
        <v>3.9E-2</v>
      </c>
      <c r="AX5" s="53">
        <v>4.3999999999999997E-2</v>
      </c>
      <c r="AY5" s="54">
        <v>390</v>
      </c>
      <c r="AZ5" s="55">
        <v>5.8999999999999997E-2</v>
      </c>
      <c r="BA5" s="55">
        <v>4.4999999999999998E-2</v>
      </c>
      <c r="BB5" s="55">
        <v>6.0999999999999999E-2</v>
      </c>
      <c r="BC5" s="56">
        <v>509</v>
      </c>
      <c r="BD5" s="395">
        <f t="shared" ref="BD5:BD17" si="2">I5+M5</f>
        <v>17.190000000000001</v>
      </c>
      <c r="BE5" s="395">
        <f t="shared" si="0"/>
        <v>15.21</v>
      </c>
      <c r="BF5" s="395">
        <f t="shared" si="0"/>
        <v>18.47</v>
      </c>
      <c r="BG5" s="396">
        <f t="shared" si="0"/>
        <v>8886</v>
      </c>
      <c r="BH5" s="402">
        <f t="shared" ref="BH5:BH17" si="3">Y5+AC5+AG5+AK5+AR5+AV5</f>
        <v>0.47399999999999998</v>
      </c>
      <c r="BI5" s="402">
        <v>0.42839999999999995</v>
      </c>
      <c r="BJ5" s="402">
        <v>0.54480000000000006</v>
      </c>
      <c r="BK5" s="403">
        <v>4315</v>
      </c>
      <c r="BL5" s="404">
        <v>0.59020000000000006</v>
      </c>
      <c r="BM5" s="404">
        <v>0.47619999999999996</v>
      </c>
      <c r="BN5" s="404">
        <v>0.60400000000000009</v>
      </c>
      <c r="BO5" s="405">
        <v>4789</v>
      </c>
      <c r="BP5" s="374">
        <v>1264</v>
      </c>
      <c r="BQ5" s="374">
        <v>1038</v>
      </c>
    </row>
    <row r="6" spans="1:69" s="19" customFormat="1" ht="16.5" hidden="1" customHeight="1" x14ac:dyDescent="0.2">
      <c r="A6" s="19" t="s">
        <v>372</v>
      </c>
      <c r="B6" s="58" t="s">
        <v>84</v>
      </c>
      <c r="C6" s="20" t="s">
        <v>385</v>
      </c>
      <c r="D6" s="20" t="s">
        <v>116</v>
      </c>
      <c r="E6" s="21">
        <v>2019</v>
      </c>
      <c r="F6" s="22">
        <v>15</v>
      </c>
      <c r="G6" s="22">
        <v>828</v>
      </c>
      <c r="H6" s="22">
        <f t="shared" si="1"/>
        <v>55.2</v>
      </c>
      <c r="I6" s="40">
        <v>11.86</v>
      </c>
      <c r="J6" s="40">
        <v>11.4</v>
      </c>
      <c r="K6" s="40">
        <v>12.67</v>
      </c>
      <c r="L6" s="41">
        <v>7125</v>
      </c>
      <c r="M6" s="42">
        <v>0.24</v>
      </c>
      <c r="N6" s="42">
        <v>0.12</v>
      </c>
      <c r="O6" s="42">
        <v>0.51</v>
      </c>
      <c r="P6" s="43">
        <v>140</v>
      </c>
      <c r="Q6" s="40">
        <v>0</v>
      </c>
      <c r="R6" s="40">
        <v>0</v>
      </c>
      <c r="S6" s="40">
        <v>0</v>
      </c>
      <c r="T6" s="40">
        <v>0</v>
      </c>
      <c r="U6" s="44">
        <v>3.5999999999999997E-2</v>
      </c>
      <c r="V6" s="44">
        <v>8.9999999999999998E-4</v>
      </c>
      <c r="W6" s="44">
        <v>5.0999999999999997E-2</v>
      </c>
      <c r="X6" s="45">
        <v>266</v>
      </c>
      <c r="Y6" s="46">
        <v>5.1999999999999998E-2</v>
      </c>
      <c r="Z6" s="46">
        <v>4.9000000000000002E-2</v>
      </c>
      <c r="AA6" s="46">
        <v>5.6000000000000001E-2</v>
      </c>
      <c r="AB6" s="47">
        <v>390</v>
      </c>
      <c r="AC6" s="48">
        <v>0.17799999999999999</v>
      </c>
      <c r="AD6" s="48">
        <v>0.14799999999999999</v>
      </c>
      <c r="AE6" s="48">
        <v>0.19900000000000001</v>
      </c>
      <c r="AF6" s="49">
        <v>1384</v>
      </c>
      <c r="AG6" s="355">
        <v>7.0999999999999994E-2</v>
      </c>
      <c r="AH6" s="355">
        <v>6.2E-2</v>
      </c>
      <c r="AI6" s="355">
        <v>7.4999999999999997E-2</v>
      </c>
      <c r="AJ6" s="356">
        <v>541</v>
      </c>
      <c r="AK6" s="50">
        <v>0.128</v>
      </c>
      <c r="AL6" s="50">
        <v>6.8000000000000005E-2</v>
      </c>
      <c r="AM6" s="50">
        <v>0.16900000000000001</v>
      </c>
      <c r="AN6" s="372">
        <v>0.16540000000000002</v>
      </c>
      <c r="AO6" s="372">
        <v>0.09</v>
      </c>
      <c r="AP6" s="373"/>
      <c r="AQ6" s="374">
        <v>1088</v>
      </c>
      <c r="AR6" s="51">
        <v>5.8000000000000003E-2</v>
      </c>
      <c r="AS6" s="51">
        <v>4.2999999999999997E-2</v>
      </c>
      <c r="AT6" s="51">
        <v>0.09</v>
      </c>
      <c r="AU6" s="52">
        <v>418</v>
      </c>
      <c r="AV6" s="53">
        <v>4.2999999999999997E-2</v>
      </c>
      <c r="AW6" s="53">
        <v>3.7999999999999999E-2</v>
      </c>
      <c r="AX6" s="53">
        <v>5.1999999999999998E-2</v>
      </c>
      <c r="AY6" s="54">
        <v>317</v>
      </c>
      <c r="AZ6" s="55">
        <v>4.2000000000000003E-2</v>
      </c>
      <c r="BA6" s="55">
        <v>0.03</v>
      </c>
      <c r="BB6" s="55">
        <v>5.2999999999999999E-2</v>
      </c>
      <c r="BC6" s="56">
        <v>273</v>
      </c>
      <c r="BD6" s="395">
        <f t="shared" si="2"/>
        <v>12.1</v>
      </c>
      <c r="BE6" s="395"/>
      <c r="BF6" s="395"/>
      <c r="BG6" s="396">
        <f t="shared" si="0"/>
        <v>7265</v>
      </c>
      <c r="BH6" s="402">
        <f t="shared" si="3"/>
        <v>0.53</v>
      </c>
      <c r="BI6" s="402"/>
      <c r="BJ6" s="402"/>
      <c r="BK6" s="403">
        <v>2960</v>
      </c>
      <c r="BL6" s="404">
        <v>0.61819999999999997</v>
      </c>
      <c r="BM6" s="404"/>
      <c r="BN6" s="404"/>
      <c r="BO6" s="405">
        <v>3265</v>
      </c>
      <c r="BP6" s="374">
        <v>1056</v>
      </c>
      <c r="BQ6" s="374">
        <v>602</v>
      </c>
    </row>
    <row r="7" spans="1:69" s="19" customFormat="1" ht="16.5" hidden="1" customHeight="1" x14ac:dyDescent="0.2">
      <c r="A7" s="19" t="s">
        <v>373</v>
      </c>
      <c r="B7" s="58" t="s">
        <v>84</v>
      </c>
      <c r="C7" s="20" t="s">
        <v>370</v>
      </c>
      <c r="D7" s="20" t="s">
        <v>87</v>
      </c>
      <c r="E7" s="21">
        <v>2019</v>
      </c>
      <c r="F7" s="22">
        <v>4</v>
      </c>
      <c r="G7" s="22">
        <v>269</v>
      </c>
      <c r="H7" s="22">
        <f t="shared" si="1"/>
        <v>67.25</v>
      </c>
      <c r="I7" s="40">
        <v>11.16</v>
      </c>
      <c r="J7" s="40">
        <v>0</v>
      </c>
      <c r="K7" s="40">
        <v>0</v>
      </c>
      <c r="L7" s="41">
        <v>7254</v>
      </c>
      <c r="M7" s="42">
        <v>0.38</v>
      </c>
      <c r="N7" s="42">
        <v>0</v>
      </c>
      <c r="O7" s="42">
        <v>0</v>
      </c>
      <c r="P7" s="43">
        <v>321</v>
      </c>
      <c r="Q7" s="40">
        <v>0</v>
      </c>
      <c r="R7" s="40">
        <v>0</v>
      </c>
      <c r="S7" s="40">
        <v>0</v>
      </c>
      <c r="T7" s="40">
        <v>0</v>
      </c>
      <c r="U7" s="44">
        <v>5.0999999999999997E-2</v>
      </c>
      <c r="V7" s="44">
        <v>0</v>
      </c>
      <c r="W7" s="44">
        <v>0</v>
      </c>
      <c r="X7" s="45">
        <v>378</v>
      </c>
      <c r="Y7" s="46">
        <v>0.08</v>
      </c>
      <c r="Z7" s="46">
        <v>0</v>
      </c>
      <c r="AA7" s="46">
        <v>0</v>
      </c>
      <c r="AB7" s="47">
        <v>450</v>
      </c>
      <c r="AC7" s="48">
        <v>9.0999999999999998E-2</v>
      </c>
      <c r="AD7" s="48">
        <v>0</v>
      </c>
      <c r="AE7" s="48">
        <v>0</v>
      </c>
      <c r="AF7" s="49">
        <v>672</v>
      </c>
      <c r="AG7" s="355">
        <v>9.5000000000000001E-2</v>
      </c>
      <c r="AH7" s="355">
        <v>0</v>
      </c>
      <c r="AI7" s="355">
        <v>0</v>
      </c>
      <c r="AJ7" s="356">
        <v>933</v>
      </c>
      <c r="AK7" s="50">
        <v>0.17</v>
      </c>
      <c r="AL7" s="50">
        <v>0</v>
      </c>
      <c r="AM7" s="50">
        <v>0</v>
      </c>
      <c r="AN7" s="372">
        <v>0.18660000000000004</v>
      </c>
      <c r="AO7" s="372">
        <v>6.5299999999999997E-2</v>
      </c>
      <c r="AP7" s="373">
        <v>7.4999999999999997E-2</v>
      </c>
      <c r="AQ7" s="374">
        <v>793</v>
      </c>
      <c r="AR7" s="51">
        <v>9.8000000000000004E-2</v>
      </c>
      <c r="AS7" s="51">
        <v>0</v>
      </c>
      <c r="AT7" s="51">
        <v>0</v>
      </c>
      <c r="AU7" s="52">
        <v>516</v>
      </c>
      <c r="AV7" s="53">
        <v>4.4999999999999998E-2</v>
      </c>
      <c r="AW7" s="53">
        <v>0</v>
      </c>
      <c r="AX7" s="53">
        <v>0</v>
      </c>
      <c r="AY7" s="54">
        <v>436</v>
      </c>
      <c r="AZ7" s="55">
        <v>4.7E-2</v>
      </c>
      <c r="BA7" s="55">
        <v>0</v>
      </c>
      <c r="BB7" s="55">
        <v>0</v>
      </c>
      <c r="BC7" s="56">
        <v>345</v>
      </c>
      <c r="BD7" s="395">
        <f t="shared" si="2"/>
        <v>11.540000000000001</v>
      </c>
      <c r="BE7" s="395">
        <f t="shared" si="0"/>
        <v>0</v>
      </c>
      <c r="BF7" s="395">
        <f t="shared" si="0"/>
        <v>0</v>
      </c>
      <c r="BG7" s="396">
        <f t="shared" si="0"/>
        <v>7575</v>
      </c>
      <c r="BH7" s="402">
        <f t="shared" si="3"/>
        <v>0.57900000000000007</v>
      </c>
      <c r="BI7" s="402">
        <v>0.34330000000000005</v>
      </c>
      <c r="BJ7" s="402">
        <v>0.51919999999999999</v>
      </c>
      <c r="BK7" s="403">
        <v>3042</v>
      </c>
      <c r="BL7" s="404">
        <v>0.53839999999999988</v>
      </c>
      <c r="BM7" s="404">
        <v>0.37470000000000003</v>
      </c>
      <c r="BN7" s="404">
        <v>0.5726</v>
      </c>
      <c r="BO7" s="405">
        <v>3377</v>
      </c>
      <c r="BP7" s="374">
        <v>1279</v>
      </c>
      <c r="BQ7" s="374">
        <v>494</v>
      </c>
    </row>
    <row r="8" spans="1:69" s="19" customFormat="1" ht="16.5" hidden="1" customHeight="1" x14ac:dyDescent="0.2">
      <c r="A8" s="19" t="s">
        <v>383</v>
      </c>
      <c r="B8" s="58" t="s">
        <v>84</v>
      </c>
      <c r="C8" s="20" t="s">
        <v>384</v>
      </c>
      <c r="D8" s="20" t="s">
        <v>87</v>
      </c>
      <c r="E8" s="21">
        <v>2019</v>
      </c>
      <c r="F8" s="22">
        <v>5</v>
      </c>
      <c r="G8" s="22">
        <v>271</v>
      </c>
      <c r="H8" s="22">
        <f t="shared" si="1"/>
        <v>54.2</v>
      </c>
      <c r="I8" s="40">
        <v>12.63</v>
      </c>
      <c r="J8" s="57" t="s">
        <v>367</v>
      </c>
      <c r="K8" s="57" t="s">
        <v>367</v>
      </c>
      <c r="L8" s="41">
        <v>8657</v>
      </c>
      <c r="M8" s="42">
        <v>0.13</v>
      </c>
      <c r="N8" s="42">
        <v>0</v>
      </c>
      <c r="O8" s="42">
        <v>0</v>
      </c>
      <c r="P8" s="43">
        <v>112</v>
      </c>
      <c r="Q8" s="40">
        <v>0</v>
      </c>
      <c r="R8" s="40">
        <v>0</v>
      </c>
      <c r="S8" s="40">
        <v>0</v>
      </c>
      <c r="T8" s="40">
        <v>0</v>
      </c>
      <c r="U8" s="44">
        <v>4.2999999999999997E-2</v>
      </c>
      <c r="V8" s="44">
        <v>0</v>
      </c>
      <c r="W8" s="44">
        <v>0</v>
      </c>
      <c r="X8" s="45">
        <v>558</v>
      </c>
      <c r="Y8" s="46">
        <v>5.8000000000000003E-2</v>
      </c>
      <c r="Z8" s="46">
        <v>0</v>
      </c>
      <c r="AA8" s="46">
        <v>0</v>
      </c>
      <c r="AB8" s="47">
        <v>577</v>
      </c>
      <c r="AC8" s="48">
        <v>0.124</v>
      </c>
      <c r="AD8" s="48">
        <v>0</v>
      </c>
      <c r="AE8" s="48">
        <v>0</v>
      </c>
      <c r="AF8" s="49">
        <v>1099</v>
      </c>
      <c r="AG8" s="355">
        <v>4.4999999999999998E-2</v>
      </c>
      <c r="AH8" s="355">
        <v>0</v>
      </c>
      <c r="AI8" s="355">
        <v>0</v>
      </c>
      <c r="AJ8" s="356">
        <v>505</v>
      </c>
      <c r="AK8" s="50">
        <v>0.105</v>
      </c>
      <c r="AL8" s="50">
        <v>0</v>
      </c>
      <c r="AM8" s="50">
        <v>0</v>
      </c>
      <c r="AN8" s="372">
        <v>0.17799999999999999</v>
      </c>
      <c r="AO8" s="372">
        <v>5.1400000000000001E-2</v>
      </c>
      <c r="AP8" s="373">
        <v>0.12659999999999999</v>
      </c>
      <c r="AQ8" s="375">
        <v>763</v>
      </c>
      <c r="AR8" s="51">
        <v>8.4000000000000005E-2</v>
      </c>
      <c r="AS8" s="51">
        <v>0</v>
      </c>
      <c r="AT8" s="51">
        <v>0</v>
      </c>
      <c r="AU8" s="52">
        <v>823</v>
      </c>
      <c r="AV8" s="53">
        <v>3.6999999999999998E-2</v>
      </c>
      <c r="AW8" s="53">
        <v>0</v>
      </c>
      <c r="AX8" s="53">
        <v>0</v>
      </c>
      <c r="AY8" s="54">
        <v>377</v>
      </c>
      <c r="AZ8" s="55">
        <v>5.5E-2</v>
      </c>
      <c r="BA8" s="55">
        <v>0</v>
      </c>
      <c r="BB8" s="55">
        <v>0</v>
      </c>
      <c r="BC8" s="56">
        <v>471</v>
      </c>
      <c r="BD8" s="395">
        <f t="shared" si="2"/>
        <v>12.760000000000002</v>
      </c>
      <c r="BE8" s="395"/>
      <c r="BF8" s="395"/>
      <c r="BG8" s="396">
        <f t="shared" si="0"/>
        <v>8769</v>
      </c>
      <c r="BH8" s="402">
        <f t="shared" si="3"/>
        <v>0.45299999999999996</v>
      </c>
      <c r="BI8" s="402"/>
      <c r="BJ8" s="402"/>
      <c r="BK8" s="403">
        <v>2925</v>
      </c>
      <c r="BL8" s="404">
        <v>0.49689999999999995</v>
      </c>
      <c r="BM8" s="404"/>
      <c r="BN8" s="404"/>
      <c r="BO8" s="405">
        <v>3469</v>
      </c>
      <c r="BP8" s="374">
        <v>1572</v>
      </c>
      <c r="BQ8" s="374">
        <v>356</v>
      </c>
    </row>
    <row r="9" spans="1:69" ht="16.5" hidden="1" customHeight="1" x14ac:dyDescent="0.2">
      <c r="A9" s="19" t="s">
        <v>374</v>
      </c>
      <c r="B9" s="58" t="s">
        <v>84</v>
      </c>
      <c r="C9" s="20" t="s">
        <v>88</v>
      </c>
      <c r="D9" s="20" t="s">
        <v>87</v>
      </c>
      <c r="E9" s="21">
        <v>2019</v>
      </c>
      <c r="F9" s="22">
        <v>7</v>
      </c>
      <c r="G9" s="22">
        <v>419</v>
      </c>
      <c r="H9" s="22">
        <f t="shared" si="1"/>
        <v>59.857142857142854</v>
      </c>
      <c r="I9" s="40">
        <v>12.63</v>
      </c>
      <c r="J9" s="40">
        <v>0</v>
      </c>
      <c r="K9" s="40">
        <v>0</v>
      </c>
      <c r="L9" s="41">
        <v>8657</v>
      </c>
      <c r="M9" s="42">
        <v>0.16</v>
      </c>
      <c r="N9" s="42">
        <v>0</v>
      </c>
      <c r="O9" s="42">
        <v>0</v>
      </c>
      <c r="P9" s="43">
        <v>112</v>
      </c>
      <c r="Q9" s="40">
        <v>0</v>
      </c>
      <c r="R9" s="40">
        <v>0</v>
      </c>
      <c r="S9" s="40">
        <v>0</v>
      </c>
      <c r="T9" s="40">
        <v>0</v>
      </c>
      <c r="U9" s="44">
        <v>3.1E-2</v>
      </c>
      <c r="V9" s="44">
        <v>0</v>
      </c>
      <c r="W9" s="44">
        <v>0</v>
      </c>
      <c r="X9" s="45">
        <v>260</v>
      </c>
      <c r="Y9" s="46">
        <v>5.8000000000000003E-2</v>
      </c>
      <c r="Z9" s="46">
        <v>0</v>
      </c>
      <c r="AA9" s="46">
        <v>0</v>
      </c>
      <c r="AB9" s="47">
        <v>454</v>
      </c>
      <c r="AC9" s="48">
        <v>0.13600000000000001</v>
      </c>
      <c r="AD9" s="48">
        <v>0</v>
      </c>
      <c r="AE9" s="48">
        <v>0</v>
      </c>
      <c r="AF9" s="49">
        <v>1594</v>
      </c>
      <c r="AG9" s="355">
        <v>4.4999999999999998E-2</v>
      </c>
      <c r="AH9" s="355">
        <v>0</v>
      </c>
      <c r="AI9" s="355">
        <v>0</v>
      </c>
      <c r="AJ9" s="356">
        <v>463</v>
      </c>
      <c r="AK9" s="50">
        <v>0.105</v>
      </c>
      <c r="AL9" s="50">
        <v>0</v>
      </c>
      <c r="AM9" s="50">
        <v>0</v>
      </c>
      <c r="AN9" s="372">
        <v>0.27509999999999996</v>
      </c>
      <c r="AO9" s="372">
        <v>9.8500000000000004E-2</v>
      </c>
      <c r="AP9" s="373"/>
      <c r="AQ9" s="374">
        <v>715</v>
      </c>
      <c r="AR9" s="51">
        <v>8.4000000000000005E-2</v>
      </c>
      <c r="AS9" s="51">
        <v>0</v>
      </c>
      <c r="AT9" s="51">
        <v>0</v>
      </c>
      <c r="AU9" s="52">
        <v>823</v>
      </c>
      <c r="AV9" s="53">
        <v>4.2000000000000003E-2</v>
      </c>
      <c r="AW9" s="53">
        <v>0</v>
      </c>
      <c r="AX9" s="53">
        <v>0</v>
      </c>
      <c r="AY9" s="54">
        <v>386</v>
      </c>
      <c r="AZ9" s="55">
        <v>4.2999999999999997E-2</v>
      </c>
      <c r="BA9" s="55">
        <v>0</v>
      </c>
      <c r="BB9" s="55">
        <v>0</v>
      </c>
      <c r="BC9" s="56">
        <v>426</v>
      </c>
      <c r="BD9" s="395">
        <f t="shared" si="2"/>
        <v>12.790000000000001</v>
      </c>
      <c r="BE9" s="395"/>
      <c r="BF9" s="395"/>
      <c r="BG9" s="396">
        <f t="shared" si="0"/>
        <v>8769</v>
      </c>
      <c r="BH9" s="402">
        <f t="shared" si="3"/>
        <v>0.47</v>
      </c>
      <c r="BI9" s="402"/>
      <c r="BJ9" s="402"/>
      <c r="BK9" s="403">
        <v>3037</v>
      </c>
      <c r="BL9" s="404">
        <v>0.66789999999999994</v>
      </c>
      <c r="BM9" s="404"/>
      <c r="BN9" s="404"/>
      <c r="BO9" s="405">
        <v>3298</v>
      </c>
      <c r="BP9" s="406">
        <v>1458</v>
      </c>
      <c r="BQ9" s="406">
        <v>592</v>
      </c>
    </row>
    <row r="10" spans="1:69" ht="16.5" hidden="1" customHeight="1" x14ac:dyDescent="0.2">
      <c r="A10" s="19" t="s">
        <v>375</v>
      </c>
      <c r="B10" s="58" t="s">
        <v>84</v>
      </c>
      <c r="C10" s="20" t="s">
        <v>386</v>
      </c>
      <c r="D10" s="20" t="s">
        <v>116</v>
      </c>
      <c r="E10" s="21">
        <v>2019</v>
      </c>
      <c r="F10" s="59">
        <v>6</v>
      </c>
      <c r="G10" s="59">
        <v>322</v>
      </c>
      <c r="H10" s="22">
        <f t="shared" si="1"/>
        <v>53.666666666666664</v>
      </c>
      <c r="I10" s="61">
        <v>11.38</v>
      </c>
      <c r="J10" s="61">
        <v>0</v>
      </c>
      <c r="K10" s="61">
        <v>0</v>
      </c>
      <c r="L10" s="62">
        <v>8941</v>
      </c>
      <c r="M10" s="42">
        <v>0.41</v>
      </c>
      <c r="N10" s="42">
        <v>0</v>
      </c>
      <c r="O10" s="42">
        <v>0</v>
      </c>
      <c r="P10" s="43">
        <v>246</v>
      </c>
      <c r="Q10" s="40">
        <v>0</v>
      </c>
      <c r="R10" s="40">
        <v>0</v>
      </c>
      <c r="S10" s="40">
        <v>0</v>
      </c>
      <c r="T10" s="40">
        <v>0</v>
      </c>
      <c r="U10" s="63">
        <v>4.2999999999999997E-2</v>
      </c>
      <c r="V10" s="63">
        <v>0</v>
      </c>
      <c r="W10" s="63">
        <v>0</v>
      </c>
      <c r="X10" s="64">
        <v>366</v>
      </c>
      <c r="Y10" s="65">
        <v>0.05</v>
      </c>
      <c r="Z10" s="65">
        <v>0</v>
      </c>
      <c r="AA10" s="65">
        <v>0</v>
      </c>
      <c r="AB10" s="66">
        <v>461</v>
      </c>
      <c r="AC10" s="67">
        <v>0.11600000000000001</v>
      </c>
      <c r="AD10" s="67">
        <v>0</v>
      </c>
      <c r="AE10" s="67">
        <v>0</v>
      </c>
      <c r="AF10" s="68">
        <v>1051</v>
      </c>
      <c r="AG10" s="357">
        <v>8.4000000000000005E-2</v>
      </c>
      <c r="AH10" s="357">
        <v>0</v>
      </c>
      <c r="AI10" s="357">
        <v>0</v>
      </c>
      <c r="AJ10" s="358">
        <v>759</v>
      </c>
      <c r="AK10" s="69">
        <v>0.128</v>
      </c>
      <c r="AL10" s="69">
        <v>0</v>
      </c>
      <c r="AM10" s="69">
        <v>0</v>
      </c>
      <c r="AN10" s="376">
        <v>0.24540000000000006</v>
      </c>
      <c r="AO10" s="376">
        <v>4.7100000000000003E-2</v>
      </c>
      <c r="AP10" s="377"/>
      <c r="AQ10" s="378">
        <v>837</v>
      </c>
      <c r="AR10" s="71">
        <v>6.9000000000000006E-2</v>
      </c>
      <c r="AS10" s="71">
        <v>0</v>
      </c>
      <c r="AT10" s="71">
        <v>0</v>
      </c>
      <c r="AU10" s="72">
        <v>670</v>
      </c>
      <c r="AV10" s="73">
        <v>4.5999999999999999E-2</v>
      </c>
      <c r="AW10" s="73">
        <v>0</v>
      </c>
      <c r="AX10" s="73">
        <v>0</v>
      </c>
      <c r="AY10" s="74">
        <v>334</v>
      </c>
      <c r="AZ10" s="75">
        <v>0.05</v>
      </c>
      <c r="BA10" s="75">
        <v>0</v>
      </c>
      <c r="BB10" s="75">
        <v>0</v>
      </c>
      <c r="BC10" s="76">
        <v>548</v>
      </c>
      <c r="BD10" s="395">
        <f t="shared" si="2"/>
        <v>11.790000000000001</v>
      </c>
      <c r="BE10" s="395"/>
      <c r="BF10" s="395"/>
      <c r="BG10" s="396">
        <f t="shared" si="0"/>
        <v>9187</v>
      </c>
      <c r="BH10" s="402">
        <f t="shared" si="3"/>
        <v>0.49299999999999999</v>
      </c>
      <c r="BI10" s="402"/>
      <c r="BJ10" s="402"/>
      <c r="BK10" s="403">
        <v>3024</v>
      </c>
      <c r="BL10" s="404">
        <v>0.51939999999999997</v>
      </c>
      <c r="BM10" s="404"/>
      <c r="BN10" s="404"/>
      <c r="BO10" s="405">
        <v>3499</v>
      </c>
      <c r="BP10" s="406">
        <v>2108</v>
      </c>
      <c r="BQ10" s="406">
        <v>439</v>
      </c>
    </row>
    <row r="11" spans="1:69" ht="16.5" hidden="1" customHeight="1" x14ac:dyDescent="0.2">
      <c r="A11" s="19" t="s">
        <v>376</v>
      </c>
      <c r="B11" s="58" t="s">
        <v>84</v>
      </c>
      <c r="C11" s="20" t="s">
        <v>387</v>
      </c>
      <c r="D11" s="20" t="s">
        <v>116</v>
      </c>
      <c r="E11" s="21">
        <v>2019</v>
      </c>
      <c r="F11" s="59">
        <v>16</v>
      </c>
      <c r="G11" s="59">
        <v>877</v>
      </c>
      <c r="H11" s="22">
        <f t="shared" si="1"/>
        <v>54.8125</v>
      </c>
      <c r="I11" s="61">
        <v>11.86</v>
      </c>
      <c r="J11" s="61">
        <v>11.4</v>
      </c>
      <c r="K11" s="61">
        <v>12.67</v>
      </c>
      <c r="L11" s="62">
        <v>7125</v>
      </c>
      <c r="M11" s="42">
        <v>0.24</v>
      </c>
      <c r="N11" s="42">
        <v>0.18</v>
      </c>
      <c r="O11" s="42">
        <v>0.51</v>
      </c>
      <c r="P11" s="43">
        <v>161</v>
      </c>
      <c r="Q11" s="40">
        <v>0</v>
      </c>
      <c r="R11" s="40">
        <v>0</v>
      </c>
      <c r="S11" s="40">
        <v>0</v>
      </c>
      <c r="T11" s="40">
        <v>0</v>
      </c>
      <c r="U11" s="63">
        <v>3.9E-2</v>
      </c>
      <c r="V11" s="63">
        <v>8.9999999999999998E-4</v>
      </c>
      <c r="W11" s="63">
        <v>6.0999999999999999E-2</v>
      </c>
      <c r="X11" s="64">
        <v>335</v>
      </c>
      <c r="Y11" s="65">
        <v>5.5E-2</v>
      </c>
      <c r="Z11" s="65">
        <v>0.05</v>
      </c>
      <c r="AA11" s="65">
        <v>5.8999999999999997E-2</v>
      </c>
      <c r="AB11" s="66">
        <v>413</v>
      </c>
      <c r="AC11" s="67">
        <v>0.192</v>
      </c>
      <c r="AD11" s="67">
        <v>0.154</v>
      </c>
      <c r="AE11" s="67">
        <v>0.21</v>
      </c>
      <c r="AF11" s="68">
        <v>1388</v>
      </c>
      <c r="AG11" s="357">
        <v>7.0999999999999994E-2</v>
      </c>
      <c r="AH11" s="357">
        <v>6.2E-2</v>
      </c>
      <c r="AI11" s="357">
        <v>8.3000000000000004E-2</v>
      </c>
      <c r="AJ11" s="358">
        <v>541</v>
      </c>
      <c r="AK11" s="69">
        <v>0.13300000000000001</v>
      </c>
      <c r="AL11" s="69">
        <v>7.6999999999999999E-2</v>
      </c>
      <c r="AM11" s="69">
        <v>0.16900000000000001</v>
      </c>
      <c r="AN11" s="376">
        <v>0.24530000000000005</v>
      </c>
      <c r="AO11" s="376">
        <v>4.7E-2</v>
      </c>
      <c r="AP11" s="377"/>
      <c r="AQ11" s="378">
        <v>836</v>
      </c>
      <c r="AR11" s="71">
        <v>6.5000000000000002E-2</v>
      </c>
      <c r="AS11" s="71">
        <v>4.2999999999999997E-2</v>
      </c>
      <c r="AT11" s="71">
        <v>0.09</v>
      </c>
      <c r="AU11" s="72">
        <v>420</v>
      </c>
      <c r="AV11" s="73">
        <v>4.7E-2</v>
      </c>
      <c r="AW11" s="73">
        <v>4.1000000000000002E-2</v>
      </c>
      <c r="AX11" s="73">
        <v>5.3999999999999999E-2</v>
      </c>
      <c r="AY11" s="74">
        <v>369</v>
      </c>
      <c r="AZ11" s="75">
        <v>3.7999999999999999E-2</v>
      </c>
      <c r="BA11" s="75">
        <v>0.03</v>
      </c>
      <c r="BB11" s="75">
        <v>4.4999999999999998E-2</v>
      </c>
      <c r="BC11" s="76">
        <v>269</v>
      </c>
      <c r="BD11" s="395">
        <f t="shared" si="2"/>
        <v>12.1</v>
      </c>
      <c r="BE11" s="395"/>
      <c r="BF11" s="395"/>
      <c r="BG11" s="396">
        <f t="shared" si="0"/>
        <v>7286</v>
      </c>
      <c r="BH11" s="402">
        <f t="shared" si="3"/>
        <v>0.56300000000000006</v>
      </c>
      <c r="BI11" s="402"/>
      <c r="BJ11" s="402"/>
      <c r="BK11" s="403">
        <v>3929</v>
      </c>
      <c r="BL11" s="404">
        <v>0.5454</v>
      </c>
      <c r="BM11" s="404"/>
      <c r="BN11" s="404"/>
      <c r="BO11" s="405">
        <v>4318</v>
      </c>
      <c r="BP11" s="406">
        <v>2077</v>
      </c>
      <c r="BQ11" s="406">
        <v>408</v>
      </c>
    </row>
    <row r="12" spans="1:69" ht="16.5" hidden="1" customHeight="1" x14ac:dyDescent="0.2">
      <c r="A12" s="19" t="s">
        <v>377</v>
      </c>
      <c r="B12" s="58" t="s">
        <v>84</v>
      </c>
      <c r="C12" s="20" t="s">
        <v>388</v>
      </c>
      <c r="D12" s="20" t="s">
        <v>116</v>
      </c>
      <c r="E12" s="21">
        <v>2019</v>
      </c>
      <c r="F12" s="59">
        <v>8</v>
      </c>
      <c r="G12" s="59">
        <v>460</v>
      </c>
      <c r="H12" s="22">
        <f t="shared" si="1"/>
        <v>57.5</v>
      </c>
      <c r="I12" s="61">
        <v>10.02</v>
      </c>
      <c r="J12" s="61">
        <v>0</v>
      </c>
      <c r="K12" s="61">
        <v>0</v>
      </c>
      <c r="L12" s="62">
        <v>8401</v>
      </c>
      <c r="M12" s="42">
        <v>0.41</v>
      </c>
      <c r="N12" s="42">
        <v>0</v>
      </c>
      <c r="O12" s="42">
        <v>0</v>
      </c>
      <c r="P12" s="43">
        <v>246</v>
      </c>
      <c r="Q12" s="40">
        <v>0</v>
      </c>
      <c r="R12" s="40">
        <v>0</v>
      </c>
      <c r="S12" s="40">
        <v>0</v>
      </c>
      <c r="T12" s="40">
        <v>0</v>
      </c>
      <c r="U12" s="63">
        <v>4.2999999999999997E-2</v>
      </c>
      <c r="V12" s="63">
        <v>0</v>
      </c>
      <c r="W12" s="63">
        <v>0</v>
      </c>
      <c r="X12" s="64">
        <v>366</v>
      </c>
      <c r="Y12" s="65">
        <v>5.1999999999999998E-2</v>
      </c>
      <c r="Z12" s="65">
        <v>0</v>
      </c>
      <c r="AA12" s="65">
        <v>0</v>
      </c>
      <c r="AB12" s="66">
        <v>432</v>
      </c>
      <c r="AC12" s="67">
        <v>0.11600000000000001</v>
      </c>
      <c r="AD12" s="67">
        <v>0</v>
      </c>
      <c r="AE12" s="67">
        <v>0</v>
      </c>
      <c r="AF12" s="68">
        <v>1018</v>
      </c>
      <c r="AG12" s="357">
        <v>7.9000000000000001E-2</v>
      </c>
      <c r="AH12" s="357">
        <v>0</v>
      </c>
      <c r="AI12" s="357">
        <v>0</v>
      </c>
      <c r="AJ12" s="358">
        <v>698</v>
      </c>
      <c r="AK12" s="69">
        <v>0.128</v>
      </c>
      <c r="AL12" s="69">
        <v>0</v>
      </c>
      <c r="AM12" s="69">
        <v>0</v>
      </c>
      <c r="AN12" s="376">
        <v>0.31190000000000001</v>
      </c>
      <c r="AO12" s="376">
        <v>0.10120000000000001</v>
      </c>
      <c r="AP12" s="377"/>
      <c r="AQ12" s="378">
        <v>860</v>
      </c>
      <c r="AR12" s="71">
        <v>6.9000000000000006E-2</v>
      </c>
      <c r="AS12" s="71">
        <v>0</v>
      </c>
      <c r="AT12" s="71">
        <v>0</v>
      </c>
      <c r="AU12" s="72">
        <v>670</v>
      </c>
      <c r="AV12" s="73">
        <v>4.1000000000000002E-2</v>
      </c>
      <c r="AW12" s="73">
        <v>0</v>
      </c>
      <c r="AX12" s="73">
        <v>0</v>
      </c>
      <c r="AY12" s="74">
        <v>325</v>
      </c>
      <c r="AZ12" s="75">
        <v>5.1999999999999998E-2</v>
      </c>
      <c r="BA12" s="75">
        <v>0</v>
      </c>
      <c r="BB12" s="75">
        <v>0</v>
      </c>
      <c r="BC12" s="76">
        <v>414</v>
      </c>
      <c r="BD12" s="395">
        <f t="shared" si="2"/>
        <v>10.43</v>
      </c>
      <c r="BE12" s="395"/>
      <c r="BF12" s="395"/>
      <c r="BG12" s="396">
        <f t="shared" si="0"/>
        <v>8647</v>
      </c>
      <c r="BH12" s="402">
        <f t="shared" si="3"/>
        <v>0.48499999999999999</v>
      </c>
      <c r="BI12" s="402"/>
      <c r="BJ12" s="402"/>
      <c r="BK12" s="403">
        <v>2671</v>
      </c>
      <c r="BL12" s="404">
        <v>0.48469999999999996</v>
      </c>
      <c r="BM12" s="404"/>
      <c r="BN12" s="404"/>
      <c r="BO12" s="405">
        <v>2932</v>
      </c>
      <c r="BP12" s="406">
        <v>1823</v>
      </c>
      <c r="BQ12" s="406">
        <v>754</v>
      </c>
    </row>
    <row r="13" spans="1:69" ht="16.5" hidden="1" customHeight="1" x14ac:dyDescent="0.2">
      <c r="A13" s="19" t="s">
        <v>378</v>
      </c>
      <c r="B13" s="58" t="s">
        <v>84</v>
      </c>
      <c r="C13" s="20" t="s">
        <v>362</v>
      </c>
      <c r="D13" s="20" t="s">
        <v>87</v>
      </c>
      <c r="E13" s="21">
        <v>2019</v>
      </c>
      <c r="F13" s="59">
        <v>13</v>
      </c>
      <c r="G13" s="59">
        <v>950</v>
      </c>
      <c r="H13" s="22">
        <f t="shared" si="1"/>
        <v>73.07692307692308</v>
      </c>
      <c r="I13" s="61">
        <v>11.24</v>
      </c>
      <c r="J13" s="61">
        <v>9.31</v>
      </c>
      <c r="K13" s="61">
        <v>12.76</v>
      </c>
      <c r="L13" s="62">
        <v>7990</v>
      </c>
      <c r="M13" s="42">
        <v>0.19</v>
      </c>
      <c r="N13" s="42">
        <v>0.15</v>
      </c>
      <c r="O13" s="42">
        <v>0.38</v>
      </c>
      <c r="P13" s="43">
        <v>147</v>
      </c>
      <c r="Q13" s="40">
        <v>0</v>
      </c>
      <c r="R13" s="40">
        <v>0</v>
      </c>
      <c r="S13" s="40">
        <v>0</v>
      </c>
      <c r="T13" s="40">
        <v>0</v>
      </c>
      <c r="U13" s="63">
        <v>4.2999999999999997E-2</v>
      </c>
      <c r="V13" s="63">
        <v>2.7E-2</v>
      </c>
      <c r="W13" s="63">
        <v>5.0999999999999997E-2</v>
      </c>
      <c r="X13" s="64">
        <v>329</v>
      </c>
      <c r="Y13" s="65">
        <v>5.6000000000000001E-2</v>
      </c>
      <c r="Z13" s="65">
        <v>4.5999999999999999E-2</v>
      </c>
      <c r="AA13" s="65">
        <v>6.6000000000000003E-2</v>
      </c>
      <c r="AB13" s="66">
        <v>450</v>
      </c>
      <c r="AC13" s="67">
        <v>9.8000000000000004E-2</v>
      </c>
      <c r="AD13" s="67">
        <v>8.8999999999999996E-2</v>
      </c>
      <c r="AE13" s="67">
        <v>0.124</v>
      </c>
      <c r="AF13" s="77">
        <v>876</v>
      </c>
      <c r="AG13" s="359">
        <v>5.8999999999999997E-2</v>
      </c>
      <c r="AH13" s="359">
        <v>0</v>
      </c>
      <c r="AI13" s="359">
        <v>0</v>
      </c>
      <c r="AJ13" s="360">
        <v>489</v>
      </c>
      <c r="AK13" s="69">
        <v>0.105</v>
      </c>
      <c r="AL13" s="69">
        <v>9.9000000000000005E-2</v>
      </c>
      <c r="AM13" s="69">
        <v>0.111</v>
      </c>
      <c r="AN13" s="376">
        <v>0.1789</v>
      </c>
      <c r="AO13" s="376">
        <v>2.58E-2</v>
      </c>
      <c r="AP13" s="377"/>
      <c r="AQ13" s="378">
        <v>936</v>
      </c>
      <c r="AR13" s="71">
        <v>8.4000000000000005E-2</v>
      </c>
      <c r="AS13" s="71">
        <v>4.9000000000000002E-2</v>
      </c>
      <c r="AT13" s="71">
        <v>0.10199999999999999</v>
      </c>
      <c r="AU13" s="72">
        <v>791</v>
      </c>
      <c r="AV13" s="73">
        <v>4.3999999999999997E-2</v>
      </c>
      <c r="AW13" s="73">
        <v>3.6999999999999998E-2</v>
      </c>
      <c r="AX13" s="73">
        <v>4.4999999999999998E-2</v>
      </c>
      <c r="AY13" s="74">
        <v>377</v>
      </c>
      <c r="AZ13" s="75">
        <v>4.2999999999999997E-2</v>
      </c>
      <c r="BA13" s="75">
        <v>3.4000000000000002E-2</v>
      </c>
      <c r="BB13" s="75">
        <v>5.8000000000000003E-2</v>
      </c>
      <c r="BC13" s="76">
        <v>420</v>
      </c>
      <c r="BD13" s="395">
        <f t="shared" si="2"/>
        <v>11.43</v>
      </c>
      <c r="BE13" s="395"/>
      <c r="BF13" s="395"/>
      <c r="BG13" s="396">
        <f t="shared" si="0"/>
        <v>8137</v>
      </c>
      <c r="BH13" s="402">
        <f t="shared" si="3"/>
        <v>0.44600000000000001</v>
      </c>
      <c r="BI13" s="402"/>
      <c r="BJ13" s="402"/>
      <c r="BK13" s="403">
        <v>3814</v>
      </c>
      <c r="BL13" s="404">
        <v>0.61280000000000001</v>
      </c>
      <c r="BM13" s="404"/>
      <c r="BN13" s="404"/>
      <c r="BO13" s="405">
        <v>4358</v>
      </c>
      <c r="BP13" s="406">
        <v>1560</v>
      </c>
      <c r="BQ13" s="406">
        <v>247</v>
      </c>
    </row>
    <row r="14" spans="1:69" ht="16.5" hidden="1" customHeight="1" x14ac:dyDescent="0.2">
      <c r="A14" s="19" t="s">
        <v>379</v>
      </c>
      <c r="B14" s="58" t="s">
        <v>84</v>
      </c>
      <c r="C14" s="20" t="s">
        <v>364</v>
      </c>
      <c r="D14" s="20" t="s">
        <v>86</v>
      </c>
      <c r="E14" s="21">
        <v>2019</v>
      </c>
      <c r="F14" s="59">
        <v>18</v>
      </c>
      <c r="G14" s="59">
        <v>1341</v>
      </c>
      <c r="H14" s="22">
        <f t="shared" si="1"/>
        <v>74.5</v>
      </c>
      <c r="I14" s="61">
        <v>15.94</v>
      </c>
      <c r="J14" s="61">
        <v>13.81</v>
      </c>
      <c r="K14" s="61">
        <v>17.16</v>
      </c>
      <c r="L14" s="62">
        <v>8469</v>
      </c>
      <c r="M14" s="42">
        <v>0.72</v>
      </c>
      <c r="N14" s="42">
        <v>0.54</v>
      </c>
      <c r="O14" s="42">
        <v>0.92</v>
      </c>
      <c r="P14" s="43">
        <v>386</v>
      </c>
      <c r="Q14" s="40">
        <v>0</v>
      </c>
      <c r="R14" s="40">
        <v>0</v>
      </c>
      <c r="S14" s="40">
        <v>0</v>
      </c>
      <c r="T14" s="40">
        <v>0</v>
      </c>
      <c r="U14" s="63">
        <v>0.03</v>
      </c>
      <c r="V14" s="63">
        <v>1.2999999999999999E-2</v>
      </c>
      <c r="W14" s="63">
        <v>3.5999999999999997E-2</v>
      </c>
      <c r="X14" s="64">
        <v>261</v>
      </c>
      <c r="Y14" s="65">
        <v>0.05</v>
      </c>
      <c r="Z14" s="65">
        <v>4.5999999999999999E-2</v>
      </c>
      <c r="AA14" s="65">
        <v>5.3999999999999999E-2</v>
      </c>
      <c r="AB14" s="66">
        <v>462</v>
      </c>
      <c r="AC14" s="67">
        <v>0.14699999999999999</v>
      </c>
      <c r="AD14" s="67">
        <v>0.13500000000000001</v>
      </c>
      <c r="AE14" s="67">
        <v>0.17799999999999999</v>
      </c>
      <c r="AF14" s="77">
        <v>1435</v>
      </c>
      <c r="AG14" s="359">
        <v>5.5E-2</v>
      </c>
      <c r="AH14" s="359">
        <v>4.2999999999999997E-2</v>
      </c>
      <c r="AI14" s="359">
        <v>6.3E-2</v>
      </c>
      <c r="AJ14" s="360">
        <v>568</v>
      </c>
      <c r="AK14" s="69">
        <v>0.121</v>
      </c>
      <c r="AL14" s="69">
        <v>0.109</v>
      </c>
      <c r="AM14" s="69">
        <v>0.14399999999999999</v>
      </c>
      <c r="AN14" s="376">
        <v>0.12590000000000001</v>
      </c>
      <c r="AO14" s="376">
        <v>2.07E-2</v>
      </c>
      <c r="AP14" s="377"/>
      <c r="AQ14" s="378">
        <v>1253</v>
      </c>
      <c r="AR14" s="71">
        <v>5.8999999999999997E-2</v>
      </c>
      <c r="AS14" s="71">
        <v>4.9000000000000002E-2</v>
      </c>
      <c r="AT14" s="71">
        <v>0.104</v>
      </c>
      <c r="AU14" s="72">
        <v>546</v>
      </c>
      <c r="AV14" s="73">
        <v>4.1000000000000002E-2</v>
      </c>
      <c r="AW14" s="73">
        <v>3.7999999999999999E-2</v>
      </c>
      <c r="AX14" s="73">
        <v>4.3999999999999997E-2</v>
      </c>
      <c r="AY14" s="74">
        <v>380</v>
      </c>
      <c r="AZ14" s="75">
        <v>5.8999999999999997E-2</v>
      </c>
      <c r="BA14" s="75">
        <v>0.05</v>
      </c>
      <c r="BB14" s="75">
        <v>6.0999999999999999E-2</v>
      </c>
      <c r="BC14" s="76">
        <v>511</v>
      </c>
      <c r="BD14" s="395">
        <f t="shared" si="2"/>
        <v>16.66</v>
      </c>
      <c r="BE14" s="395"/>
      <c r="BF14" s="395"/>
      <c r="BG14" s="396">
        <f t="shared" si="0"/>
        <v>8855</v>
      </c>
      <c r="BH14" s="402">
        <f t="shared" si="3"/>
        <v>0.47299999999999998</v>
      </c>
      <c r="BI14" s="402"/>
      <c r="BJ14" s="402"/>
      <c r="BK14" s="403">
        <v>3788</v>
      </c>
      <c r="BL14" s="404">
        <v>0.44590000000000002</v>
      </c>
      <c r="BM14" s="404"/>
      <c r="BN14" s="404"/>
      <c r="BO14" s="405">
        <v>4262</v>
      </c>
      <c r="BP14" s="406">
        <v>1207</v>
      </c>
      <c r="BQ14" s="406">
        <v>200</v>
      </c>
    </row>
    <row r="15" spans="1:69" ht="16.5" hidden="1" customHeight="1" x14ac:dyDescent="0.2">
      <c r="A15" s="19" t="s">
        <v>380</v>
      </c>
      <c r="B15" s="58" t="s">
        <v>84</v>
      </c>
      <c r="C15" s="20" t="s">
        <v>361</v>
      </c>
      <c r="D15" s="20" t="s">
        <v>86</v>
      </c>
      <c r="E15" s="21">
        <v>2019</v>
      </c>
      <c r="F15" s="59">
        <v>16</v>
      </c>
      <c r="G15" s="59">
        <v>1108</v>
      </c>
      <c r="H15" s="22">
        <f t="shared" si="1"/>
        <v>69.25</v>
      </c>
      <c r="I15" s="61">
        <v>16.350000000000001</v>
      </c>
      <c r="J15" s="61">
        <v>14.58</v>
      </c>
      <c r="K15" s="61">
        <v>17.16</v>
      </c>
      <c r="L15" s="62">
        <v>8469</v>
      </c>
      <c r="M15" s="42">
        <v>0.72</v>
      </c>
      <c r="N15" s="42">
        <v>0.54</v>
      </c>
      <c r="O15" s="42">
        <v>0.85</v>
      </c>
      <c r="P15" s="43">
        <v>386</v>
      </c>
      <c r="Q15" s="40">
        <v>0</v>
      </c>
      <c r="R15" s="40">
        <v>0</v>
      </c>
      <c r="S15" s="40">
        <v>0</v>
      </c>
      <c r="T15" s="40">
        <v>0</v>
      </c>
      <c r="U15" s="63">
        <v>3.2000000000000001E-2</v>
      </c>
      <c r="V15" s="63">
        <v>1.4999999999999999E-2</v>
      </c>
      <c r="W15" s="63">
        <v>3.5999999999999997E-2</v>
      </c>
      <c r="X15" s="78">
        <v>278</v>
      </c>
      <c r="Y15" s="65">
        <v>0.05</v>
      </c>
      <c r="Z15" s="65">
        <v>4.5999999999999999E-2</v>
      </c>
      <c r="AA15" s="65">
        <v>5.2999999999999999E-2</v>
      </c>
      <c r="AB15" s="66">
        <v>462</v>
      </c>
      <c r="AC15" s="67">
        <v>0.157</v>
      </c>
      <c r="AD15" s="67">
        <v>0.14000000000000001</v>
      </c>
      <c r="AE15" s="67">
        <v>0.17799999999999999</v>
      </c>
      <c r="AF15" s="77">
        <v>1453</v>
      </c>
      <c r="AG15" s="359">
        <v>5.3999999999999999E-2</v>
      </c>
      <c r="AH15" s="359">
        <v>4.2000000000000003E-2</v>
      </c>
      <c r="AI15" s="359">
        <v>5.8000000000000003E-2</v>
      </c>
      <c r="AJ15" s="360">
        <v>534</v>
      </c>
      <c r="AK15" s="69">
        <v>0.121</v>
      </c>
      <c r="AL15" s="69">
        <v>0.109</v>
      </c>
      <c r="AM15" s="69">
        <v>0.13900000000000001</v>
      </c>
      <c r="AN15" s="376">
        <v>8.6900000000000005E-2</v>
      </c>
      <c r="AO15" s="376">
        <v>5.0299999999999997E-2</v>
      </c>
      <c r="AP15" s="377"/>
      <c r="AQ15" s="378">
        <v>836</v>
      </c>
      <c r="AR15" s="71">
        <v>6.4000000000000001E-2</v>
      </c>
      <c r="AS15" s="71">
        <v>4.9000000000000002E-2</v>
      </c>
      <c r="AT15" s="71">
        <v>0.104</v>
      </c>
      <c r="AU15" s="72">
        <v>564</v>
      </c>
      <c r="AV15" s="73">
        <v>4.2999999999999997E-2</v>
      </c>
      <c r="AW15" s="73">
        <v>3.9E-2</v>
      </c>
      <c r="AX15" s="73">
        <v>4.3999999999999997E-2</v>
      </c>
      <c r="AY15" s="74">
        <v>383</v>
      </c>
      <c r="AZ15" s="75">
        <v>5.8999999999999997E-2</v>
      </c>
      <c r="BA15" s="75">
        <v>4.4999999999999998E-2</v>
      </c>
      <c r="BB15" s="75">
        <v>6.0999999999999999E-2</v>
      </c>
      <c r="BC15" s="76">
        <v>509</v>
      </c>
      <c r="BD15" s="395">
        <f t="shared" si="2"/>
        <v>17.07</v>
      </c>
      <c r="BE15" s="395"/>
      <c r="BF15" s="395"/>
      <c r="BG15" s="396">
        <f t="shared" si="0"/>
        <v>8855</v>
      </c>
      <c r="BH15" s="402">
        <f t="shared" si="3"/>
        <v>0.48899999999999999</v>
      </c>
      <c r="BI15" s="402"/>
      <c r="BJ15" s="402"/>
      <c r="BK15" s="403">
        <v>4616</v>
      </c>
      <c r="BL15" s="404">
        <v>0.65679999999999994</v>
      </c>
      <c r="BM15" s="404"/>
      <c r="BN15" s="404"/>
      <c r="BO15" s="405">
        <v>5175</v>
      </c>
      <c r="BP15" s="406">
        <v>730</v>
      </c>
      <c r="BQ15" s="406">
        <v>487</v>
      </c>
    </row>
    <row r="16" spans="1:69" ht="16.5" hidden="1" customHeight="1" x14ac:dyDescent="0.2">
      <c r="A16" s="19" t="s">
        <v>381</v>
      </c>
      <c r="B16" s="58" t="s">
        <v>84</v>
      </c>
      <c r="C16" s="20" t="s">
        <v>389</v>
      </c>
      <c r="D16" s="20" t="s">
        <v>116</v>
      </c>
      <c r="E16" s="21">
        <v>2019</v>
      </c>
      <c r="F16" s="60">
        <v>24</v>
      </c>
      <c r="G16" s="60">
        <v>1337</v>
      </c>
      <c r="H16" s="22">
        <f t="shared" si="1"/>
        <v>55.708333333333336</v>
      </c>
      <c r="I16" s="61">
        <v>11.58</v>
      </c>
      <c r="J16" s="61">
        <v>9.35</v>
      </c>
      <c r="K16" s="61">
        <v>11.92</v>
      </c>
      <c r="L16" s="62">
        <v>7227</v>
      </c>
      <c r="M16" s="42">
        <v>0.24</v>
      </c>
      <c r="N16" s="42">
        <v>0.18</v>
      </c>
      <c r="O16" s="42">
        <v>0.56999999999999995</v>
      </c>
      <c r="P16" s="43">
        <v>162</v>
      </c>
      <c r="Q16" s="40">
        <v>0</v>
      </c>
      <c r="R16" s="40">
        <v>0</v>
      </c>
      <c r="S16" s="40">
        <v>0</v>
      </c>
      <c r="T16" s="40">
        <v>0</v>
      </c>
      <c r="U16" s="63">
        <v>3.9E-2</v>
      </c>
      <c r="V16" s="63">
        <v>8.9999999999999993E-3</v>
      </c>
      <c r="W16" s="63">
        <v>6.0999999999999999E-2</v>
      </c>
      <c r="X16" s="78">
        <v>352</v>
      </c>
      <c r="Y16" s="65">
        <v>5.1999999999999998E-2</v>
      </c>
      <c r="Z16" s="65">
        <v>4.9000000000000002E-2</v>
      </c>
      <c r="AA16" s="65">
        <v>5.7000000000000002E-2</v>
      </c>
      <c r="AB16" s="66">
        <v>413</v>
      </c>
      <c r="AC16" s="67">
        <v>0.16200000000000001</v>
      </c>
      <c r="AD16" s="67">
        <v>0.113</v>
      </c>
      <c r="AE16" s="67">
        <v>0.19900000000000001</v>
      </c>
      <c r="AF16" s="77">
        <v>1232</v>
      </c>
      <c r="AG16" s="359">
        <v>7.5999999999999998E-2</v>
      </c>
      <c r="AH16" s="359">
        <v>6.4000000000000001E-2</v>
      </c>
      <c r="AI16" s="359">
        <v>8.3000000000000004E-2</v>
      </c>
      <c r="AJ16" s="360">
        <v>549</v>
      </c>
      <c r="AK16" s="69">
        <v>0.128</v>
      </c>
      <c r="AL16" s="69">
        <v>6.8000000000000005E-2</v>
      </c>
      <c r="AM16" s="69">
        <v>0.159</v>
      </c>
      <c r="AN16" s="376">
        <v>0.15150000000000002</v>
      </c>
      <c r="AO16" s="376">
        <v>0.10059999999999999</v>
      </c>
      <c r="AP16" s="377"/>
      <c r="AQ16" s="378">
        <v>992</v>
      </c>
      <c r="AR16" s="71">
        <v>6.6000000000000003E-2</v>
      </c>
      <c r="AS16" s="71">
        <v>4.5999999999999999E-2</v>
      </c>
      <c r="AT16" s="71">
        <v>0.09</v>
      </c>
      <c r="AU16" s="72">
        <v>570</v>
      </c>
      <c r="AV16" s="73">
        <v>4.2999999999999997E-2</v>
      </c>
      <c r="AW16" s="73">
        <v>3.7999999999999999E-2</v>
      </c>
      <c r="AX16" s="73">
        <v>5.0999999999999997E-2</v>
      </c>
      <c r="AY16" s="74">
        <v>325</v>
      </c>
      <c r="AZ16" s="75">
        <v>4.2000000000000003E-2</v>
      </c>
      <c r="BA16" s="75">
        <v>0.03</v>
      </c>
      <c r="BB16" s="75">
        <v>5.1999999999999998E-2</v>
      </c>
      <c r="BC16" s="76">
        <v>322</v>
      </c>
      <c r="BD16" s="395">
        <f t="shared" si="2"/>
        <v>11.82</v>
      </c>
      <c r="BE16" s="395"/>
      <c r="BF16" s="395"/>
      <c r="BG16" s="396">
        <f t="shared" si="0"/>
        <v>7389</v>
      </c>
      <c r="BH16" s="402">
        <f t="shared" si="3"/>
        <v>0.52700000000000002</v>
      </c>
      <c r="BI16" s="402"/>
      <c r="BJ16" s="402"/>
      <c r="BK16" s="403">
        <v>3774</v>
      </c>
      <c r="BL16" s="404">
        <v>0.60259999999999991</v>
      </c>
      <c r="BM16" s="404"/>
      <c r="BN16" s="404"/>
      <c r="BO16" s="405">
        <v>4180</v>
      </c>
      <c r="BP16" s="406">
        <v>1285</v>
      </c>
      <c r="BQ16" s="406">
        <v>851</v>
      </c>
    </row>
    <row r="17" spans="1:69" ht="16.5" hidden="1" customHeight="1" thickBot="1" x14ac:dyDescent="0.25">
      <c r="A17" s="449" t="s">
        <v>382</v>
      </c>
      <c r="B17" s="438" t="s">
        <v>84</v>
      </c>
      <c r="C17" s="79" t="s">
        <v>89</v>
      </c>
      <c r="D17" s="79" t="s">
        <v>87</v>
      </c>
      <c r="E17" s="80">
        <v>2019</v>
      </c>
      <c r="F17" s="81">
        <v>6</v>
      </c>
      <c r="G17" s="81">
        <v>531</v>
      </c>
      <c r="H17" s="439">
        <f>G17/F17</f>
        <v>88.5</v>
      </c>
      <c r="I17" s="82">
        <v>11.16</v>
      </c>
      <c r="J17" s="82">
        <v>0</v>
      </c>
      <c r="K17" s="82">
        <v>0</v>
      </c>
      <c r="L17" s="83">
        <v>7990</v>
      </c>
      <c r="M17" s="84">
        <v>0.38</v>
      </c>
      <c r="N17" s="84">
        <v>0</v>
      </c>
      <c r="O17" s="84">
        <v>0</v>
      </c>
      <c r="P17" s="85">
        <v>312</v>
      </c>
      <c r="Q17" s="86">
        <v>0</v>
      </c>
      <c r="R17" s="86">
        <v>0</v>
      </c>
      <c r="S17" s="86">
        <v>0</v>
      </c>
      <c r="T17" s="86">
        <v>0</v>
      </c>
      <c r="U17" s="87">
        <v>5.0999999999999997E-2</v>
      </c>
      <c r="V17" s="87">
        <v>0</v>
      </c>
      <c r="W17" s="87">
        <v>0</v>
      </c>
      <c r="X17" s="88">
        <v>378</v>
      </c>
      <c r="Y17" s="89">
        <v>4.9000000000000002E-2</v>
      </c>
      <c r="Z17" s="89">
        <v>0</v>
      </c>
      <c r="AA17" s="89">
        <v>0</v>
      </c>
      <c r="AB17" s="90">
        <v>450</v>
      </c>
      <c r="AC17" s="91">
        <v>9.0999999999999998E-2</v>
      </c>
      <c r="AD17" s="91">
        <v>0</v>
      </c>
      <c r="AE17" s="91">
        <v>0</v>
      </c>
      <c r="AF17" s="92">
        <v>672</v>
      </c>
      <c r="AG17" s="361">
        <v>9.5000000000000001E-2</v>
      </c>
      <c r="AH17" s="361">
        <v>0</v>
      </c>
      <c r="AI17" s="361">
        <v>0</v>
      </c>
      <c r="AJ17" s="362">
        <v>933</v>
      </c>
      <c r="AK17" s="93">
        <v>0.11</v>
      </c>
      <c r="AL17" s="93">
        <v>0</v>
      </c>
      <c r="AM17" s="93">
        <v>0</v>
      </c>
      <c r="AN17" s="379">
        <v>0.1527</v>
      </c>
      <c r="AO17" s="379">
        <v>0.10179999999999999</v>
      </c>
      <c r="AP17" s="380"/>
      <c r="AQ17" s="381">
        <v>992</v>
      </c>
      <c r="AR17" s="95">
        <v>9.8000000000000004E-2</v>
      </c>
      <c r="AS17" s="95">
        <v>0</v>
      </c>
      <c r="AT17" s="95">
        <v>0</v>
      </c>
      <c r="AU17" s="96">
        <v>516</v>
      </c>
      <c r="AV17" s="97">
        <v>4.4999999999999998E-2</v>
      </c>
      <c r="AW17" s="97">
        <v>0</v>
      </c>
      <c r="AX17" s="97">
        <v>0</v>
      </c>
      <c r="AY17" s="98">
        <v>371</v>
      </c>
      <c r="AZ17" s="99">
        <v>4.7E-2</v>
      </c>
      <c r="BA17" s="99">
        <v>0</v>
      </c>
      <c r="BB17" s="99">
        <v>0</v>
      </c>
      <c r="BC17" s="100">
        <v>345</v>
      </c>
      <c r="BD17" s="407">
        <f t="shared" si="2"/>
        <v>11.540000000000001</v>
      </c>
      <c r="BE17" s="407"/>
      <c r="BF17" s="407"/>
      <c r="BG17" s="408">
        <f t="shared" si="0"/>
        <v>8302</v>
      </c>
      <c r="BH17" s="409">
        <f t="shared" si="3"/>
        <v>0.48800000000000004</v>
      </c>
      <c r="BI17" s="409"/>
      <c r="BJ17" s="409"/>
      <c r="BK17" s="410">
        <v>3380</v>
      </c>
      <c r="BL17" s="411">
        <v>0.53420000000000001</v>
      </c>
      <c r="BM17" s="411"/>
      <c r="BN17" s="411"/>
      <c r="BO17" s="412">
        <v>3786</v>
      </c>
      <c r="BP17" s="413">
        <v>1304</v>
      </c>
      <c r="BQ17" s="413">
        <v>870</v>
      </c>
    </row>
    <row r="18" spans="1:69" ht="16.5" hidden="1" customHeight="1" x14ac:dyDescent="0.2">
      <c r="A18" s="116" t="s">
        <v>92</v>
      </c>
      <c r="B18" s="20"/>
      <c r="C18" s="20"/>
      <c r="D18" s="20"/>
      <c r="E18" s="21"/>
      <c r="F18" s="60"/>
      <c r="G18" s="60"/>
      <c r="H18" s="101" t="s">
        <v>90</v>
      </c>
      <c r="I18" s="61">
        <f t="shared" ref="I18:P18" si="4">MEDIAN(I4:I17)</f>
        <v>11.719999999999999</v>
      </c>
      <c r="J18" s="61">
        <f t="shared" si="4"/>
        <v>9.31</v>
      </c>
      <c r="K18" s="61">
        <f t="shared" si="4"/>
        <v>11.92</v>
      </c>
      <c r="L18" s="62">
        <f t="shared" si="4"/>
        <v>8195.5</v>
      </c>
      <c r="M18" s="61">
        <f t="shared" si="4"/>
        <v>0.315</v>
      </c>
      <c r="N18" s="61">
        <f t="shared" si="4"/>
        <v>0.13</v>
      </c>
      <c r="O18" s="61">
        <f t="shared" si="4"/>
        <v>0.35499999999999998</v>
      </c>
      <c r="P18" s="62">
        <f t="shared" si="4"/>
        <v>231.5</v>
      </c>
      <c r="Q18" s="102"/>
      <c r="R18" s="102"/>
      <c r="S18" s="102"/>
      <c r="T18" s="102"/>
      <c r="U18" s="421">
        <f t="shared" ref="U18:BF18" si="5">MEDIAN(U4:U17)</f>
        <v>4.0999999999999995E-2</v>
      </c>
      <c r="V18" s="421">
        <f t="shared" si="5"/>
        <v>8.9999999999999998E-4</v>
      </c>
      <c r="W18" s="421">
        <f t="shared" si="5"/>
        <v>3.5999999999999997E-2</v>
      </c>
      <c r="X18" s="78">
        <f t="shared" si="5"/>
        <v>343.5</v>
      </c>
      <c r="Y18" s="422">
        <f t="shared" si="5"/>
        <v>5.1999999999999998E-2</v>
      </c>
      <c r="Z18" s="422">
        <f t="shared" si="5"/>
        <v>4.4999999999999998E-2</v>
      </c>
      <c r="AA18" s="422">
        <f t="shared" si="5"/>
        <v>5.2999999999999999E-2</v>
      </c>
      <c r="AB18" s="66">
        <f t="shared" si="5"/>
        <v>450</v>
      </c>
      <c r="AC18" s="423">
        <f t="shared" si="5"/>
        <v>0.13</v>
      </c>
      <c r="AD18" s="423">
        <f t="shared" si="5"/>
        <v>5.9499999999999997E-2</v>
      </c>
      <c r="AE18" s="423">
        <f t="shared" si="5"/>
        <v>0.1285</v>
      </c>
      <c r="AF18" s="68">
        <f t="shared" si="5"/>
        <v>1165.5</v>
      </c>
      <c r="AG18" s="424">
        <f t="shared" si="5"/>
        <v>7.0999999999999994E-2</v>
      </c>
      <c r="AH18" s="424">
        <f t="shared" si="5"/>
        <v>2.1000000000000001E-2</v>
      </c>
      <c r="AI18" s="424">
        <f t="shared" si="5"/>
        <v>2.9000000000000001E-2</v>
      </c>
      <c r="AJ18" s="358">
        <f t="shared" si="5"/>
        <v>545</v>
      </c>
      <c r="AK18" s="70">
        <f t="shared" si="5"/>
        <v>0.121</v>
      </c>
      <c r="AL18" s="70">
        <f t="shared" si="5"/>
        <v>6.8000000000000005E-2</v>
      </c>
      <c r="AM18" s="70">
        <f t="shared" si="5"/>
        <v>0.122</v>
      </c>
      <c r="AN18" s="377">
        <f t="shared" si="5"/>
        <v>0.17810000000000001</v>
      </c>
      <c r="AO18" s="377">
        <f t="shared" si="5"/>
        <v>7.7649999999999997E-2</v>
      </c>
      <c r="AP18" s="377">
        <f t="shared" si="5"/>
        <v>6.93E-2</v>
      </c>
      <c r="AQ18" s="425">
        <f t="shared" si="5"/>
        <v>848.5</v>
      </c>
      <c r="AR18" s="426">
        <f>MEDIAN(AR4:AR17)</f>
        <v>6.9000000000000006E-2</v>
      </c>
      <c r="AS18" s="426">
        <f t="shared" si="5"/>
        <v>4.2999999999999997E-2</v>
      </c>
      <c r="AT18" s="426">
        <f t="shared" si="5"/>
        <v>0.09</v>
      </c>
      <c r="AU18" s="427">
        <f t="shared" si="5"/>
        <v>567</v>
      </c>
      <c r="AV18" s="428">
        <f t="shared" si="5"/>
        <v>4.2999999999999997E-2</v>
      </c>
      <c r="AW18" s="428">
        <f t="shared" si="5"/>
        <v>3.3000000000000002E-2</v>
      </c>
      <c r="AX18" s="428">
        <f t="shared" si="5"/>
        <v>4.3999999999999997E-2</v>
      </c>
      <c r="AY18" s="429">
        <f t="shared" si="5"/>
        <v>374</v>
      </c>
      <c r="AZ18" s="430">
        <f t="shared" si="5"/>
        <v>4.8500000000000001E-2</v>
      </c>
      <c r="BA18" s="430">
        <f t="shared" si="5"/>
        <v>0.03</v>
      </c>
      <c r="BB18" s="430">
        <f t="shared" si="5"/>
        <v>4.8500000000000001E-2</v>
      </c>
      <c r="BC18" s="431">
        <f t="shared" si="5"/>
        <v>423</v>
      </c>
      <c r="BD18" s="414">
        <f t="shared" si="5"/>
        <v>11.96</v>
      </c>
      <c r="BE18" s="414">
        <f t="shared" si="5"/>
        <v>6.58</v>
      </c>
      <c r="BF18" s="414">
        <f t="shared" si="5"/>
        <v>10.540000000000001</v>
      </c>
      <c r="BG18" s="396">
        <f t="shared" si="0"/>
        <v>8427</v>
      </c>
      <c r="BH18" s="432">
        <v>0.49869999999999992</v>
      </c>
      <c r="BI18" s="432">
        <v>0.34330000000000005</v>
      </c>
      <c r="BJ18" s="432">
        <v>0.51919999999999999</v>
      </c>
      <c r="BK18" s="433">
        <f>MEDIAN(BK4:BK17)</f>
        <v>3211</v>
      </c>
      <c r="BL18" s="434">
        <v>0.53839999999999988</v>
      </c>
      <c r="BM18" s="434">
        <v>0.37470000000000003</v>
      </c>
      <c r="BN18" s="434">
        <v>0.5726</v>
      </c>
      <c r="BO18" s="435">
        <f>MEDIAN(BO4:BO17)</f>
        <v>3642.5</v>
      </c>
      <c r="BP18" s="436">
        <f>MEDIAN(BP4:BP17)</f>
        <v>1320</v>
      </c>
      <c r="BQ18" s="436">
        <f>MEDIAN(BQ4:BQ17)</f>
        <v>543</v>
      </c>
    </row>
    <row r="19" spans="1:69" ht="16.5" hidden="1" customHeight="1" thickBot="1" x14ac:dyDescent="0.25">
      <c r="A19" s="116" t="s">
        <v>93</v>
      </c>
      <c r="B19" s="20"/>
      <c r="C19" s="20"/>
      <c r="D19" s="20"/>
      <c r="E19" s="21"/>
      <c r="F19" s="60"/>
      <c r="G19" s="60"/>
      <c r="H19" s="101" t="s">
        <v>91</v>
      </c>
      <c r="I19" s="82">
        <f t="shared" ref="I19:P19" si="6">AVERAGE(I4:I17)</f>
        <v>12.29857142857143</v>
      </c>
      <c r="J19" s="82">
        <f t="shared" si="6"/>
        <v>6.9899999999999993</v>
      </c>
      <c r="K19" s="82">
        <f t="shared" si="6"/>
        <v>8.5930769230769233</v>
      </c>
      <c r="L19" s="83">
        <f t="shared" si="6"/>
        <v>8002.8571428571431</v>
      </c>
      <c r="M19" s="82">
        <f t="shared" si="6"/>
        <v>0.37928571428571428</v>
      </c>
      <c r="N19" s="82">
        <f t="shared" si="6"/>
        <v>0.17714285714285713</v>
      </c>
      <c r="O19" s="82">
        <f t="shared" si="6"/>
        <v>0.38428571428571429</v>
      </c>
      <c r="P19" s="83">
        <f t="shared" si="6"/>
        <v>240.35714285714286</v>
      </c>
      <c r="Q19" s="103"/>
      <c r="R19" s="103"/>
      <c r="S19" s="103"/>
      <c r="T19" s="104"/>
      <c r="U19" s="105">
        <f t="shared" ref="U19:BF19" si="7">AVERAGE(U4:U17)</f>
        <v>4.0571428571428578E-2</v>
      </c>
      <c r="V19" s="105">
        <f t="shared" si="7"/>
        <v>7.6285714285714281E-3</v>
      </c>
      <c r="W19" s="105">
        <f t="shared" si="7"/>
        <v>3.157142857142857E-2</v>
      </c>
      <c r="X19" s="106">
        <f t="shared" si="7"/>
        <v>342.92857142857144</v>
      </c>
      <c r="Y19" s="107">
        <f t="shared" si="7"/>
        <v>5.4357142857142875E-2</v>
      </c>
      <c r="Z19" s="107">
        <f t="shared" si="7"/>
        <v>2.6857142857142854E-2</v>
      </c>
      <c r="AA19" s="107">
        <f t="shared" si="7"/>
        <v>3.2500000000000001E-2</v>
      </c>
      <c r="AB19" s="90">
        <f t="shared" si="7"/>
        <v>448.14285714285717</v>
      </c>
      <c r="AC19" s="108">
        <f t="shared" si="7"/>
        <v>0.13028571428571428</v>
      </c>
      <c r="AD19" s="108">
        <f t="shared" si="7"/>
        <v>6.7571428571428574E-2</v>
      </c>
      <c r="AE19" s="108">
        <f t="shared" si="7"/>
        <v>9.9928571428571436E-2</v>
      </c>
      <c r="AF19" s="346">
        <f t="shared" si="7"/>
        <v>1127.0714285714287</v>
      </c>
      <c r="AG19" s="363">
        <f t="shared" si="7"/>
        <v>6.9857142857142854E-2</v>
      </c>
      <c r="AH19" s="363">
        <f t="shared" si="7"/>
        <v>2.5714285714285714E-2</v>
      </c>
      <c r="AI19" s="363">
        <f t="shared" si="7"/>
        <v>3.892857142857143E-2</v>
      </c>
      <c r="AJ19" s="364">
        <f t="shared" si="7"/>
        <v>622.42857142857144</v>
      </c>
      <c r="AK19" s="94">
        <f t="shared" si="7"/>
        <v>0.12242857142857144</v>
      </c>
      <c r="AL19" s="94">
        <f t="shared" si="7"/>
        <v>5.164285714285715E-2</v>
      </c>
      <c r="AM19" s="94">
        <f t="shared" si="7"/>
        <v>8.3071428571428574E-2</v>
      </c>
      <c r="AN19" s="380">
        <f t="shared" si="7"/>
        <v>0.18690000000000001</v>
      </c>
      <c r="AO19" s="380">
        <f t="shared" si="7"/>
        <v>7.2850000000000012E-2</v>
      </c>
      <c r="AP19" s="380">
        <f t="shared" si="7"/>
        <v>7.3175000000000004E-2</v>
      </c>
      <c r="AQ19" s="382">
        <f t="shared" si="7"/>
        <v>921.92857142857144</v>
      </c>
      <c r="AR19" s="109">
        <f t="shared" si="7"/>
        <v>7.4500000000000011E-2</v>
      </c>
      <c r="AS19" s="109">
        <f t="shared" si="7"/>
        <v>2.7999999999999997E-2</v>
      </c>
      <c r="AT19" s="109">
        <f t="shared" si="7"/>
        <v>5.6642857142857141E-2</v>
      </c>
      <c r="AU19" s="347">
        <f t="shared" si="7"/>
        <v>620.14285714285711</v>
      </c>
      <c r="AV19" s="110">
        <f t="shared" si="7"/>
        <v>4.2857142857142858E-2</v>
      </c>
      <c r="AW19" s="110">
        <f t="shared" si="7"/>
        <v>2.1357142857142856E-2</v>
      </c>
      <c r="AX19" s="110">
        <f t="shared" si="7"/>
        <v>2.7357142857142854E-2</v>
      </c>
      <c r="AY19" s="348">
        <f t="shared" si="7"/>
        <v>362.92857142857144</v>
      </c>
      <c r="AZ19" s="349">
        <f t="shared" si="7"/>
        <v>4.9857142857142864E-2</v>
      </c>
      <c r="BA19" s="349">
        <f t="shared" si="7"/>
        <v>2.1000000000000001E-2</v>
      </c>
      <c r="BB19" s="349">
        <f t="shared" si="7"/>
        <v>3.4499999999999996E-2</v>
      </c>
      <c r="BC19" s="350">
        <f t="shared" si="7"/>
        <v>420.57142857142856</v>
      </c>
      <c r="BD19" s="415">
        <f t="shared" si="7"/>
        <v>12.677857142857141</v>
      </c>
      <c r="BE19" s="415">
        <f t="shared" si="7"/>
        <v>7.2633333333333328</v>
      </c>
      <c r="BF19" s="415">
        <f t="shared" si="7"/>
        <v>9.67</v>
      </c>
      <c r="BG19" s="408">
        <f t="shared" si="0"/>
        <v>8243.2142857142862</v>
      </c>
      <c r="BH19" s="416">
        <v>0.50073333333333325</v>
      </c>
      <c r="BI19" s="416">
        <v>0.33756666666666674</v>
      </c>
      <c r="BJ19" s="416">
        <v>0.5142000000000001</v>
      </c>
      <c r="BK19" s="417">
        <f>AVERAGE(BK4:BK17)</f>
        <v>3425.0714285714284</v>
      </c>
      <c r="BL19" s="418">
        <v>0.55132666666666663</v>
      </c>
      <c r="BM19" s="418">
        <v>0.37863333333333332</v>
      </c>
      <c r="BN19" s="418">
        <v>0.5517333333333333</v>
      </c>
      <c r="BO19" s="419">
        <f>AVERAGE(BO4:BO17)</f>
        <v>3845.3571428571427</v>
      </c>
      <c r="BP19" s="420">
        <f>AVERAGE(BP4:BP17)</f>
        <v>1432.7857142857142</v>
      </c>
      <c r="BQ19" s="420">
        <f>AVERAGE(BQ4:BQ17)</f>
        <v>579.57142857142856</v>
      </c>
    </row>
    <row r="20" spans="1:69" ht="16.5" customHeight="1" x14ac:dyDescent="0.2">
      <c r="A20" s="391"/>
      <c r="B20" s="20"/>
      <c r="C20" s="20"/>
      <c r="D20" s="20"/>
      <c r="E20" s="21"/>
      <c r="F20" s="60"/>
      <c r="G20" s="60"/>
      <c r="H20" s="101"/>
      <c r="I20" s="384"/>
      <c r="J20" s="59"/>
      <c r="K20" s="59"/>
      <c r="L20" s="111"/>
      <c r="M20" s="112"/>
      <c r="N20" s="112"/>
      <c r="O20" s="112"/>
      <c r="P20" s="113"/>
      <c r="Q20" s="20"/>
      <c r="R20" s="20"/>
      <c r="S20" s="20"/>
      <c r="T20" s="114"/>
      <c r="U20" s="20"/>
      <c r="V20" s="20"/>
      <c r="W20" s="20"/>
      <c r="X20" s="111"/>
      <c r="Z20" s="20"/>
      <c r="AA20" s="20"/>
      <c r="AB20" s="115"/>
      <c r="AC20" s="20"/>
      <c r="AD20" s="20"/>
      <c r="AE20" s="20"/>
      <c r="AF20" s="111"/>
      <c r="AG20" s="383"/>
      <c r="AH20" s="111"/>
      <c r="AI20" s="111"/>
      <c r="AJ20" s="111"/>
      <c r="AK20" s="219"/>
      <c r="AL20" s="385"/>
      <c r="AM20" s="385"/>
      <c r="AN20" s="386"/>
      <c r="AO20" s="386"/>
      <c r="AP20" s="386"/>
      <c r="AQ20" s="387"/>
      <c r="AR20" s="219"/>
      <c r="AS20" s="20"/>
      <c r="AT20" s="20"/>
      <c r="AU20" s="20"/>
      <c r="AV20" s="219"/>
      <c r="AW20" s="20"/>
      <c r="AX20" s="20"/>
      <c r="AY20" s="20"/>
      <c r="AZ20" s="219"/>
      <c r="BA20" s="20"/>
      <c r="BB20" s="20"/>
      <c r="BC20" s="111"/>
      <c r="BD20" s="691"/>
      <c r="BE20" s="691"/>
      <c r="BF20" s="691"/>
      <c r="BG20" s="691"/>
      <c r="BH20" s="691"/>
      <c r="BI20" s="691"/>
      <c r="BJ20" s="691"/>
      <c r="BK20" s="691"/>
      <c r="BL20" s="691"/>
      <c r="BM20" s="691"/>
      <c r="BN20" s="691"/>
      <c r="BO20" s="691"/>
    </row>
    <row r="21" spans="1:69" ht="16.5" customHeight="1" x14ac:dyDescent="0.2">
      <c r="A21" s="389"/>
      <c r="B21" s="19"/>
      <c r="C21" s="19"/>
    </row>
  </sheetData>
  <sheetProtection algorithmName="SHA-512" hashValue="M1d9yAwGI0UEYCgm0lZc144DpDDiyCOBAwxALyBhTveFgK4QxqLIAZKz4zvciYHYoedRqEXKCT1QhIR7AjCYgQ==" saltValue="nSU/J49shyo07bFwUc+G/Q==" spinCount="100000" sheet="1" objects="1" scenarios="1" selectLockedCells="1" selectUnlockedCells="1"/>
  <mergeCells count="17">
    <mergeCell ref="AR2:AU2"/>
    <mergeCell ref="I2:L2"/>
    <mergeCell ref="M2:P2"/>
    <mergeCell ref="Q2:T2"/>
    <mergeCell ref="BD20:BO20"/>
    <mergeCell ref="AV2:AY2"/>
    <mergeCell ref="U2:X2"/>
    <mergeCell ref="Y2:AB2"/>
    <mergeCell ref="AC2:AF2"/>
    <mergeCell ref="AG2:AJ2"/>
    <mergeCell ref="AN2:AQ2"/>
    <mergeCell ref="AK2:AM2"/>
    <mergeCell ref="BP2:BQ2"/>
    <mergeCell ref="AZ2:BC2"/>
    <mergeCell ref="BD2:BG2"/>
    <mergeCell ref="BH2:BK2"/>
    <mergeCell ref="BL2:BO2"/>
  </mergeCells>
  <phoneticPr fontId="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B2F7-56AB-4386-830D-5BEAA8D8CC59}">
  <dimension ref="A1:BQ40"/>
  <sheetViews>
    <sheetView topLeftCell="A23" zoomScaleNormal="100" workbookViewId="0">
      <selection activeCell="A22" sqref="A1:XFD22"/>
    </sheetView>
  </sheetViews>
  <sheetFormatPr defaultColWidth="9.33203125" defaultRowHeight="16.5" customHeight="1" x14ac:dyDescent="0.2"/>
  <cols>
    <col min="1" max="1" width="51.1640625" style="58" bestFit="1" customWidth="1"/>
    <col min="2" max="2" width="9.33203125" style="58"/>
    <col min="3" max="3" width="20.1640625" style="58" bestFit="1" customWidth="1"/>
    <col min="4" max="4" width="9.33203125" style="58"/>
    <col min="5" max="6" width="9.33203125" style="117"/>
    <col min="7" max="8" width="9.33203125" style="58"/>
    <col min="9" max="11" width="9.33203125" style="117"/>
    <col min="12" max="12" width="9.33203125" style="118"/>
    <col min="13" max="15" width="9.33203125" style="117"/>
    <col min="16" max="23" width="9.33203125" style="58"/>
    <col min="24" max="24" width="9.33203125" style="118"/>
    <col min="25" max="27" width="9.33203125" style="58"/>
    <col min="28" max="28" width="9.33203125" style="119"/>
    <col min="29" max="31" width="9.33203125" style="58"/>
    <col min="32" max="36" width="9.33203125" style="118"/>
    <col min="37" max="41" width="9.33203125" style="58"/>
    <col min="42" max="42" width="9.33203125" style="117"/>
    <col min="43" max="43" width="11" style="58" bestFit="1" customWidth="1"/>
    <col min="44" max="67" width="9.33203125" style="58"/>
    <col min="68" max="68" width="14.6640625" style="58" customWidth="1"/>
    <col min="69" max="69" width="14.5" style="58" bestFit="1" customWidth="1"/>
    <col min="70" max="16384" width="9.33203125" style="58"/>
  </cols>
  <sheetData>
    <row r="1" spans="1:69" s="4" customFormat="1" ht="11.25" hidden="1" x14ac:dyDescent="0.2">
      <c r="A1" s="3">
        <v>1</v>
      </c>
      <c r="B1" s="3">
        <v>2</v>
      </c>
      <c r="C1" s="3">
        <v>3</v>
      </c>
      <c r="D1" s="3">
        <v>4</v>
      </c>
      <c r="E1" s="3">
        <v>5</v>
      </c>
      <c r="F1" s="3">
        <v>6</v>
      </c>
      <c r="G1" s="3">
        <v>7</v>
      </c>
      <c r="H1" s="3">
        <v>8</v>
      </c>
      <c r="I1" s="3">
        <v>9</v>
      </c>
      <c r="J1" s="3">
        <v>10</v>
      </c>
      <c r="K1" s="3">
        <v>11</v>
      </c>
      <c r="L1" s="3">
        <v>12</v>
      </c>
      <c r="M1" s="3">
        <v>13</v>
      </c>
      <c r="N1" s="3">
        <v>14</v>
      </c>
      <c r="O1" s="3">
        <v>15</v>
      </c>
      <c r="P1" s="3">
        <v>16</v>
      </c>
      <c r="Q1" s="3">
        <v>17</v>
      </c>
      <c r="R1" s="3">
        <v>18</v>
      </c>
      <c r="S1" s="3">
        <v>19</v>
      </c>
      <c r="T1" s="3">
        <v>20</v>
      </c>
      <c r="U1" s="3">
        <v>21</v>
      </c>
      <c r="V1" s="3">
        <v>22</v>
      </c>
      <c r="W1" s="3">
        <v>23</v>
      </c>
      <c r="X1" s="3">
        <v>24</v>
      </c>
      <c r="Y1" s="3">
        <v>25</v>
      </c>
      <c r="Z1" s="3">
        <v>26</v>
      </c>
      <c r="AA1" s="3">
        <v>27</v>
      </c>
      <c r="AB1" s="3">
        <v>28</v>
      </c>
      <c r="AC1" s="3">
        <v>29</v>
      </c>
      <c r="AD1" s="3">
        <v>30</v>
      </c>
      <c r="AE1" s="3">
        <v>31</v>
      </c>
      <c r="AF1" s="3">
        <v>32</v>
      </c>
      <c r="AG1" s="3">
        <v>33</v>
      </c>
      <c r="AH1" s="3">
        <v>34</v>
      </c>
      <c r="AI1" s="3">
        <v>35</v>
      </c>
      <c r="AJ1" s="3">
        <v>36</v>
      </c>
      <c r="AK1" s="3">
        <v>37</v>
      </c>
      <c r="AL1" s="3">
        <v>38</v>
      </c>
      <c r="AM1" s="3">
        <v>39</v>
      </c>
      <c r="AN1" s="3">
        <v>40</v>
      </c>
      <c r="AO1" s="3">
        <v>41</v>
      </c>
      <c r="AP1" s="3">
        <v>42</v>
      </c>
      <c r="AQ1" s="3">
        <v>43</v>
      </c>
      <c r="AR1" s="3">
        <v>44</v>
      </c>
      <c r="AS1" s="3">
        <v>45</v>
      </c>
      <c r="AT1" s="3">
        <v>46</v>
      </c>
      <c r="AU1" s="3">
        <v>47</v>
      </c>
      <c r="AV1" s="3">
        <v>48</v>
      </c>
      <c r="AW1" s="3">
        <v>49</v>
      </c>
      <c r="AX1" s="3">
        <v>50</v>
      </c>
      <c r="AY1" s="3">
        <v>51</v>
      </c>
      <c r="AZ1" s="3">
        <v>52</v>
      </c>
      <c r="BA1" s="3">
        <v>53</v>
      </c>
      <c r="BB1" s="3">
        <v>54</v>
      </c>
      <c r="BC1" s="3">
        <v>55</v>
      </c>
      <c r="BD1" s="3">
        <v>56</v>
      </c>
      <c r="BE1" s="3">
        <v>57</v>
      </c>
      <c r="BF1" s="3">
        <v>58</v>
      </c>
      <c r="BG1" s="3">
        <v>59</v>
      </c>
      <c r="BH1" s="3">
        <v>60</v>
      </c>
      <c r="BI1" s="3">
        <v>61</v>
      </c>
      <c r="BJ1" s="3">
        <v>62</v>
      </c>
      <c r="BK1" s="3">
        <v>63</v>
      </c>
      <c r="BL1" s="3">
        <v>64</v>
      </c>
      <c r="BM1" s="3">
        <v>65</v>
      </c>
      <c r="BN1" s="3">
        <v>66</v>
      </c>
      <c r="BO1" s="3">
        <v>67</v>
      </c>
    </row>
    <row r="2" spans="1:69" s="3" customFormat="1" ht="16.5" hidden="1" customHeight="1" x14ac:dyDescent="0.2">
      <c r="A2" s="4"/>
      <c r="B2" s="4"/>
      <c r="C2" s="3" t="s">
        <v>66</v>
      </c>
      <c r="D2" s="3" t="s">
        <v>53</v>
      </c>
      <c r="E2" s="3" t="s">
        <v>67</v>
      </c>
      <c r="F2" s="445" t="s">
        <v>68</v>
      </c>
      <c r="G2" s="445" t="s">
        <v>68</v>
      </c>
      <c r="H2" s="3" t="s">
        <v>69</v>
      </c>
      <c r="I2" s="688" t="s">
        <v>70</v>
      </c>
      <c r="J2" s="689"/>
      <c r="K2" s="689"/>
      <c r="L2" s="690"/>
      <c r="M2" s="688" t="s">
        <v>48</v>
      </c>
      <c r="N2" s="689"/>
      <c r="O2" s="689"/>
      <c r="P2" s="690"/>
      <c r="Q2" s="688" t="s">
        <v>49</v>
      </c>
      <c r="R2" s="689"/>
      <c r="S2" s="689"/>
      <c r="T2" s="690"/>
      <c r="U2" s="695" t="s">
        <v>342</v>
      </c>
      <c r="V2" s="696"/>
      <c r="W2" s="696"/>
      <c r="X2" s="697"/>
      <c r="Y2" s="698" t="s">
        <v>6</v>
      </c>
      <c r="Z2" s="699"/>
      <c r="AA2" s="699"/>
      <c r="AB2" s="700"/>
      <c r="AC2" s="701" t="s">
        <v>50</v>
      </c>
      <c r="AD2" s="702"/>
      <c r="AE2" s="702"/>
      <c r="AF2" s="703"/>
      <c r="AG2" s="704" t="s">
        <v>64</v>
      </c>
      <c r="AH2" s="705"/>
      <c r="AI2" s="705"/>
      <c r="AJ2" s="706"/>
      <c r="AK2" s="708" t="s">
        <v>71</v>
      </c>
      <c r="AL2" s="709"/>
      <c r="AM2" s="710"/>
      <c r="AN2" s="671" t="s">
        <v>72</v>
      </c>
      <c r="AO2" s="672"/>
      <c r="AP2" s="672"/>
      <c r="AQ2" s="707"/>
      <c r="AR2" s="685" t="s">
        <v>51</v>
      </c>
      <c r="AS2" s="686"/>
      <c r="AT2" s="686"/>
      <c r="AU2" s="687"/>
      <c r="AV2" s="692" t="s">
        <v>37</v>
      </c>
      <c r="AW2" s="693"/>
      <c r="AX2" s="693"/>
      <c r="AY2" s="694"/>
      <c r="AZ2" s="673" t="s">
        <v>73</v>
      </c>
      <c r="BA2" s="674"/>
      <c r="BB2" s="674"/>
      <c r="BC2" s="675"/>
      <c r="BD2" s="676" t="s">
        <v>74</v>
      </c>
      <c r="BE2" s="677"/>
      <c r="BF2" s="677"/>
      <c r="BG2" s="678"/>
      <c r="BH2" s="679" t="s">
        <v>94</v>
      </c>
      <c r="BI2" s="680"/>
      <c r="BJ2" s="680"/>
      <c r="BK2" s="681"/>
      <c r="BL2" s="682" t="s">
        <v>95</v>
      </c>
      <c r="BM2" s="683"/>
      <c r="BN2" s="683"/>
      <c r="BO2" s="684"/>
      <c r="BP2" s="671" t="s">
        <v>72</v>
      </c>
      <c r="BQ2" s="672"/>
    </row>
    <row r="3" spans="1:69" s="19" customFormat="1" ht="16.5" hidden="1" customHeight="1" thickBot="1" x14ac:dyDescent="0.25">
      <c r="A3" s="5" t="s">
        <v>52</v>
      </c>
      <c r="B3" s="6" t="s">
        <v>75</v>
      </c>
      <c r="C3" s="6" t="s">
        <v>76</v>
      </c>
      <c r="D3" s="6" t="s">
        <v>77</v>
      </c>
      <c r="E3" s="5" t="s">
        <v>78</v>
      </c>
      <c r="F3" s="446" t="s">
        <v>79</v>
      </c>
      <c r="G3" s="446" t="s">
        <v>28</v>
      </c>
      <c r="H3" s="5" t="s">
        <v>28</v>
      </c>
      <c r="I3" s="7" t="s">
        <v>54</v>
      </c>
      <c r="J3" s="7" t="s">
        <v>55</v>
      </c>
      <c r="K3" s="7" t="s">
        <v>56</v>
      </c>
      <c r="L3" s="8" t="s">
        <v>80</v>
      </c>
      <c r="M3" s="7" t="s">
        <v>54</v>
      </c>
      <c r="N3" s="7" t="s">
        <v>55</v>
      </c>
      <c r="O3" s="7" t="s">
        <v>56</v>
      </c>
      <c r="P3" s="7" t="s">
        <v>80</v>
      </c>
      <c r="Q3" s="7" t="s">
        <v>54</v>
      </c>
      <c r="R3" s="7" t="s">
        <v>55</v>
      </c>
      <c r="S3" s="7" t="s">
        <v>56</v>
      </c>
      <c r="T3" s="7" t="s">
        <v>80</v>
      </c>
      <c r="U3" s="9" t="s">
        <v>54</v>
      </c>
      <c r="V3" s="9" t="s">
        <v>55</v>
      </c>
      <c r="W3" s="9" t="s">
        <v>56</v>
      </c>
      <c r="X3" s="10" t="s">
        <v>80</v>
      </c>
      <c r="Y3" s="11" t="s">
        <v>54</v>
      </c>
      <c r="Z3" s="11" t="s">
        <v>55</v>
      </c>
      <c r="AA3" s="11" t="s">
        <v>56</v>
      </c>
      <c r="AB3" s="12" t="s">
        <v>80</v>
      </c>
      <c r="AC3" s="13" t="s">
        <v>54</v>
      </c>
      <c r="AD3" s="13" t="s">
        <v>55</v>
      </c>
      <c r="AE3" s="13" t="s">
        <v>56</v>
      </c>
      <c r="AF3" s="14" t="s">
        <v>80</v>
      </c>
      <c r="AG3" s="351" t="s">
        <v>54</v>
      </c>
      <c r="AH3" s="351" t="s">
        <v>55</v>
      </c>
      <c r="AI3" s="351" t="s">
        <v>56</v>
      </c>
      <c r="AJ3" s="352" t="s">
        <v>80</v>
      </c>
      <c r="AK3" s="15" t="s">
        <v>54</v>
      </c>
      <c r="AL3" s="15" t="s">
        <v>55</v>
      </c>
      <c r="AM3" s="15" t="s">
        <v>56</v>
      </c>
      <c r="AN3" s="366" t="s">
        <v>81</v>
      </c>
      <c r="AO3" s="366" t="s">
        <v>82</v>
      </c>
      <c r="AP3" s="367" t="s">
        <v>83</v>
      </c>
      <c r="AQ3" s="368" t="s">
        <v>245</v>
      </c>
      <c r="AR3" s="16" t="s">
        <v>54</v>
      </c>
      <c r="AS3" s="16" t="s">
        <v>55</v>
      </c>
      <c r="AT3" s="16" t="s">
        <v>56</v>
      </c>
      <c r="AU3" s="16" t="s">
        <v>80</v>
      </c>
      <c r="AV3" s="17" t="s">
        <v>54</v>
      </c>
      <c r="AW3" s="17" t="s">
        <v>55</v>
      </c>
      <c r="AX3" s="17" t="s">
        <v>56</v>
      </c>
      <c r="AY3" s="17" t="s">
        <v>80</v>
      </c>
      <c r="AZ3" s="18" t="s">
        <v>54</v>
      </c>
      <c r="BA3" s="18" t="s">
        <v>55</v>
      </c>
      <c r="BB3" s="18" t="s">
        <v>56</v>
      </c>
      <c r="BC3" s="18" t="s">
        <v>80</v>
      </c>
      <c r="BD3" s="392" t="s">
        <v>54</v>
      </c>
      <c r="BE3" s="392" t="s">
        <v>55</v>
      </c>
      <c r="BF3" s="392" t="s">
        <v>56</v>
      </c>
      <c r="BG3" s="392" t="s">
        <v>80</v>
      </c>
      <c r="BH3" s="393" t="s">
        <v>54</v>
      </c>
      <c r="BI3" s="393" t="s">
        <v>55</v>
      </c>
      <c r="BJ3" s="393" t="s">
        <v>56</v>
      </c>
      <c r="BK3" s="393" t="s">
        <v>80</v>
      </c>
      <c r="BL3" s="394" t="s">
        <v>54</v>
      </c>
      <c r="BM3" s="394" t="s">
        <v>55</v>
      </c>
      <c r="BN3" s="394" t="s">
        <v>56</v>
      </c>
      <c r="BO3" s="394" t="s">
        <v>80</v>
      </c>
      <c r="BP3" s="366" t="s">
        <v>246</v>
      </c>
      <c r="BQ3" s="366" t="s">
        <v>247</v>
      </c>
    </row>
    <row r="4" spans="1:69" s="19" customFormat="1" ht="16.5" hidden="1" customHeight="1" x14ac:dyDescent="0.2">
      <c r="A4" s="390" t="s">
        <v>368</v>
      </c>
      <c r="B4" s="58" t="s">
        <v>84</v>
      </c>
      <c r="C4" s="20" t="s">
        <v>360</v>
      </c>
      <c r="D4" s="19" t="s">
        <v>85</v>
      </c>
      <c r="E4" s="21">
        <v>2019</v>
      </c>
      <c r="F4" s="22">
        <v>55</v>
      </c>
      <c r="G4" s="22">
        <v>4924</v>
      </c>
      <c r="H4" s="22">
        <f>G4/F4</f>
        <v>89.527272727272731</v>
      </c>
      <c r="I4" s="23">
        <v>8.02</v>
      </c>
      <c r="J4" s="23">
        <v>6.44</v>
      </c>
      <c r="K4" s="23">
        <v>10.210000000000001</v>
      </c>
      <c r="L4" s="24">
        <v>7266</v>
      </c>
      <c r="M4" s="25">
        <v>0.25</v>
      </c>
      <c r="N4" s="25">
        <v>0.14000000000000001</v>
      </c>
      <c r="O4" s="25">
        <v>0.33</v>
      </c>
      <c r="P4" s="24">
        <v>217</v>
      </c>
      <c r="Q4" s="25">
        <v>0.17</v>
      </c>
      <c r="R4" s="25">
        <v>0.09</v>
      </c>
      <c r="S4" s="25">
        <v>0.25</v>
      </c>
      <c r="T4" s="26">
        <v>176</v>
      </c>
      <c r="U4" s="27">
        <v>5.5E-2</v>
      </c>
      <c r="V4" s="27">
        <v>2.8000000000000001E-2</v>
      </c>
      <c r="W4" s="27">
        <v>0.10199999999999999</v>
      </c>
      <c r="X4" s="28">
        <v>364</v>
      </c>
      <c r="Y4" s="29">
        <v>4.9000000000000002E-2</v>
      </c>
      <c r="Z4" s="29">
        <v>4.3999999999999997E-2</v>
      </c>
      <c r="AA4" s="29">
        <v>5.7000000000000002E-2</v>
      </c>
      <c r="AB4" s="30">
        <v>398</v>
      </c>
      <c r="AC4" s="31">
        <v>6.9000000000000006E-2</v>
      </c>
      <c r="AD4" s="31">
        <v>0.03</v>
      </c>
      <c r="AE4" s="31">
        <v>0.13300000000000001</v>
      </c>
      <c r="AF4" s="32">
        <v>452</v>
      </c>
      <c r="AG4" s="353">
        <v>9.5000000000000001E-2</v>
      </c>
      <c r="AH4" s="353">
        <v>4.3999999999999997E-2</v>
      </c>
      <c r="AI4" s="353">
        <v>0.125</v>
      </c>
      <c r="AJ4" s="354">
        <v>667</v>
      </c>
      <c r="AK4" s="33">
        <v>0.111</v>
      </c>
      <c r="AL4" s="33">
        <v>8.4000000000000005E-2</v>
      </c>
      <c r="AM4" s="33">
        <v>0.13300000000000001</v>
      </c>
      <c r="AN4" s="369">
        <v>0.17820000000000003</v>
      </c>
      <c r="AO4" s="369">
        <v>0.1129</v>
      </c>
      <c r="AP4" s="370">
        <v>6.3600000000000018E-2</v>
      </c>
      <c r="AQ4" s="371">
        <v>836</v>
      </c>
      <c r="AR4" s="34">
        <v>8.5999999999999993E-2</v>
      </c>
      <c r="AS4" s="34">
        <v>6.8000000000000005E-2</v>
      </c>
      <c r="AT4" s="34">
        <v>0.122</v>
      </c>
      <c r="AU4" s="35">
        <v>791</v>
      </c>
      <c r="AV4" s="36">
        <v>0.04</v>
      </c>
      <c r="AW4" s="36">
        <v>2.9000000000000001E-2</v>
      </c>
      <c r="AX4" s="36">
        <v>4.9000000000000002E-2</v>
      </c>
      <c r="AY4" s="37">
        <v>311</v>
      </c>
      <c r="AZ4" s="38">
        <v>6.2E-2</v>
      </c>
      <c r="BA4" s="38">
        <v>0.03</v>
      </c>
      <c r="BB4" s="38">
        <v>9.1999999999999998E-2</v>
      </c>
      <c r="BC4" s="39">
        <v>526</v>
      </c>
      <c r="BD4" s="395">
        <f>I4+M4</f>
        <v>8.27</v>
      </c>
      <c r="BE4" s="395">
        <f t="shared" ref="BE4:BG18" si="0">J4+N4</f>
        <v>6.58</v>
      </c>
      <c r="BF4" s="395">
        <f t="shared" si="0"/>
        <v>10.540000000000001</v>
      </c>
      <c r="BG4" s="396">
        <f>L4+P4</f>
        <v>7483</v>
      </c>
      <c r="BH4" s="397">
        <f>Y4+AC4+AG4+AK4+AR4+AV4</f>
        <v>0.45</v>
      </c>
      <c r="BI4" s="397">
        <f>Z4+AD4+AH4+AL4+AS4+AW4</f>
        <v>0.29900000000000004</v>
      </c>
      <c r="BJ4" s="397">
        <v>0.47859999999999997</v>
      </c>
      <c r="BK4" s="398">
        <v>2676</v>
      </c>
      <c r="BL4" s="399">
        <v>0.5213000000000001</v>
      </c>
      <c r="BM4" s="399">
        <v>0.28500000000000003</v>
      </c>
      <c r="BN4" s="399">
        <v>0.47859999999999997</v>
      </c>
      <c r="BO4" s="400">
        <v>3127</v>
      </c>
      <c r="BP4" s="401">
        <v>1336</v>
      </c>
      <c r="BQ4" s="401">
        <v>776</v>
      </c>
    </row>
    <row r="5" spans="1:69" s="19" customFormat="1" ht="16.5" hidden="1" customHeight="1" x14ac:dyDescent="0.2">
      <c r="A5" s="219" t="s">
        <v>356</v>
      </c>
      <c r="B5" s="58" t="s">
        <v>84</v>
      </c>
      <c r="C5" s="20" t="s">
        <v>369</v>
      </c>
      <c r="D5" s="20" t="s">
        <v>86</v>
      </c>
      <c r="E5" s="21">
        <v>2019</v>
      </c>
      <c r="F5" s="22">
        <v>14</v>
      </c>
      <c r="G5" s="22">
        <v>992</v>
      </c>
      <c r="H5" s="22">
        <f t="shared" ref="H5:H16" si="1">G5/F5</f>
        <v>70.857142857142861</v>
      </c>
      <c r="I5" s="40">
        <v>16.350000000000001</v>
      </c>
      <c r="J5" s="40">
        <v>14.58</v>
      </c>
      <c r="K5" s="40">
        <v>17.16</v>
      </c>
      <c r="L5" s="41">
        <v>8469</v>
      </c>
      <c r="M5" s="42">
        <v>0.84</v>
      </c>
      <c r="N5" s="42">
        <v>0.63</v>
      </c>
      <c r="O5" s="42">
        <v>1.31</v>
      </c>
      <c r="P5" s="43">
        <v>417</v>
      </c>
      <c r="Q5" s="40">
        <v>0</v>
      </c>
      <c r="R5" s="40">
        <v>0</v>
      </c>
      <c r="S5" s="40">
        <v>0</v>
      </c>
      <c r="T5" s="40">
        <v>0</v>
      </c>
      <c r="U5" s="44">
        <v>3.2000000000000001E-2</v>
      </c>
      <c r="V5" s="44">
        <v>1.2999999999999999E-2</v>
      </c>
      <c r="W5" s="44">
        <v>4.3999999999999997E-2</v>
      </c>
      <c r="X5" s="45">
        <v>310</v>
      </c>
      <c r="Y5" s="46">
        <v>0.05</v>
      </c>
      <c r="Z5" s="46">
        <v>4.5999999999999999E-2</v>
      </c>
      <c r="AA5" s="46">
        <v>5.2999999999999999E-2</v>
      </c>
      <c r="AB5" s="47">
        <v>462</v>
      </c>
      <c r="AC5" s="48">
        <v>0.14699999999999999</v>
      </c>
      <c r="AD5" s="48">
        <v>0.13700000000000001</v>
      </c>
      <c r="AE5" s="48">
        <v>0.17799999999999999</v>
      </c>
      <c r="AF5" s="49">
        <v>1453</v>
      </c>
      <c r="AG5" s="355">
        <v>5.3999999999999999E-2</v>
      </c>
      <c r="AH5" s="355">
        <v>4.2999999999999997E-2</v>
      </c>
      <c r="AI5" s="355">
        <v>5.8000000000000003E-2</v>
      </c>
      <c r="AJ5" s="356">
        <v>534</v>
      </c>
      <c r="AK5" s="50">
        <v>0.121</v>
      </c>
      <c r="AL5" s="50">
        <v>0.109</v>
      </c>
      <c r="AM5" s="50">
        <v>0.13900000000000001</v>
      </c>
      <c r="AN5" s="372">
        <v>0.1348</v>
      </c>
      <c r="AO5" s="372">
        <v>0.10730000000000001</v>
      </c>
      <c r="AP5" s="373">
        <v>2.7499999999999997E-2</v>
      </c>
      <c r="AQ5" s="374">
        <v>1170</v>
      </c>
      <c r="AR5" s="51">
        <v>5.8999999999999997E-2</v>
      </c>
      <c r="AS5" s="51">
        <v>4.4999999999999998E-2</v>
      </c>
      <c r="AT5" s="51">
        <v>9.0999999999999998E-2</v>
      </c>
      <c r="AU5" s="52">
        <v>564</v>
      </c>
      <c r="AV5" s="53">
        <v>4.2999999999999997E-2</v>
      </c>
      <c r="AW5" s="53">
        <v>3.9E-2</v>
      </c>
      <c r="AX5" s="53">
        <v>4.3999999999999997E-2</v>
      </c>
      <c r="AY5" s="54">
        <v>390</v>
      </c>
      <c r="AZ5" s="55">
        <v>5.8999999999999997E-2</v>
      </c>
      <c r="BA5" s="55">
        <v>4.4999999999999998E-2</v>
      </c>
      <c r="BB5" s="55">
        <v>6.0999999999999999E-2</v>
      </c>
      <c r="BC5" s="56">
        <v>509</v>
      </c>
      <c r="BD5" s="395">
        <f t="shared" ref="BD5:BD17" si="2">I5+M5</f>
        <v>17.190000000000001</v>
      </c>
      <c r="BE5" s="395">
        <f t="shared" si="0"/>
        <v>15.21</v>
      </c>
      <c r="BF5" s="395">
        <f t="shared" si="0"/>
        <v>18.47</v>
      </c>
      <c r="BG5" s="396">
        <f t="shared" si="0"/>
        <v>8886</v>
      </c>
      <c r="BH5" s="402">
        <f t="shared" ref="BH5:BH17" si="3">Y5+AC5+AG5+AK5+AR5+AV5</f>
        <v>0.47399999999999998</v>
      </c>
      <c r="BI5" s="402">
        <v>0.42839999999999995</v>
      </c>
      <c r="BJ5" s="402">
        <v>0.54480000000000006</v>
      </c>
      <c r="BK5" s="403">
        <v>4315</v>
      </c>
      <c r="BL5" s="404">
        <v>0.59020000000000006</v>
      </c>
      <c r="BM5" s="404">
        <v>0.47619999999999996</v>
      </c>
      <c r="BN5" s="404">
        <v>0.60400000000000009</v>
      </c>
      <c r="BO5" s="405">
        <v>4789</v>
      </c>
      <c r="BP5" s="374">
        <v>1264</v>
      </c>
      <c r="BQ5" s="374">
        <v>1038</v>
      </c>
    </row>
    <row r="6" spans="1:69" s="19" customFormat="1" ht="16.5" hidden="1" customHeight="1" x14ac:dyDescent="0.2">
      <c r="A6" s="219" t="s">
        <v>357</v>
      </c>
      <c r="B6" s="58" t="s">
        <v>84</v>
      </c>
      <c r="C6" s="20" t="s">
        <v>385</v>
      </c>
      <c r="D6" s="20" t="s">
        <v>116</v>
      </c>
      <c r="E6" s="21">
        <v>2019</v>
      </c>
      <c r="F6" s="22">
        <v>15</v>
      </c>
      <c r="G6" s="22">
        <v>828</v>
      </c>
      <c r="H6" s="22">
        <f t="shared" si="1"/>
        <v>55.2</v>
      </c>
      <c r="I6" s="40">
        <v>11.86</v>
      </c>
      <c r="J6" s="40">
        <v>11.4</v>
      </c>
      <c r="K6" s="40">
        <v>12.67</v>
      </c>
      <c r="L6" s="41">
        <v>7125</v>
      </c>
      <c r="M6" s="42">
        <v>0.24</v>
      </c>
      <c r="N6" s="42">
        <v>0.12</v>
      </c>
      <c r="O6" s="42">
        <v>0.51</v>
      </c>
      <c r="P6" s="43">
        <v>140</v>
      </c>
      <c r="Q6" s="40">
        <v>0</v>
      </c>
      <c r="R6" s="40">
        <v>0</v>
      </c>
      <c r="S6" s="40">
        <v>0</v>
      </c>
      <c r="T6" s="40">
        <v>0</v>
      </c>
      <c r="U6" s="44">
        <v>3.5999999999999997E-2</v>
      </c>
      <c r="V6" s="44">
        <v>8.9999999999999998E-4</v>
      </c>
      <c r="W6" s="44">
        <v>5.0999999999999997E-2</v>
      </c>
      <c r="X6" s="45">
        <v>266</v>
      </c>
      <c r="Y6" s="46">
        <v>5.1999999999999998E-2</v>
      </c>
      <c r="Z6" s="46">
        <v>4.9000000000000002E-2</v>
      </c>
      <c r="AA6" s="46">
        <v>5.6000000000000001E-2</v>
      </c>
      <c r="AB6" s="47">
        <v>390</v>
      </c>
      <c r="AC6" s="48">
        <v>0.17799999999999999</v>
      </c>
      <c r="AD6" s="48">
        <v>0.14799999999999999</v>
      </c>
      <c r="AE6" s="48">
        <v>0.19900000000000001</v>
      </c>
      <c r="AF6" s="49">
        <v>1384</v>
      </c>
      <c r="AG6" s="355">
        <v>7.0999999999999994E-2</v>
      </c>
      <c r="AH6" s="355">
        <v>6.2E-2</v>
      </c>
      <c r="AI6" s="355">
        <v>7.4999999999999997E-2</v>
      </c>
      <c r="AJ6" s="356">
        <v>541</v>
      </c>
      <c r="AK6" s="50">
        <v>0.128</v>
      </c>
      <c r="AL6" s="50">
        <v>6.8000000000000005E-2</v>
      </c>
      <c r="AM6" s="50">
        <v>0.16900000000000001</v>
      </c>
      <c r="AN6" s="372">
        <v>0.16540000000000002</v>
      </c>
      <c r="AO6" s="372">
        <v>0.09</v>
      </c>
      <c r="AP6" s="373"/>
      <c r="AQ6" s="374">
        <v>1088</v>
      </c>
      <c r="AR6" s="51">
        <v>5.8000000000000003E-2</v>
      </c>
      <c r="AS6" s="51">
        <v>4.2999999999999997E-2</v>
      </c>
      <c r="AT6" s="51">
        <v>0.09</v>
      </c>
      <c r="AU6" s="52">
        <v>418</v>
      </c>
      <c r="AV6" s="53">
        <v>4.2999999999999997E-2</v>
      </c>
      <c r="AW6" s="53">
        <v>3.7999999999999999E-2</v>
      </c>
      <c r="AX6" s="53">
        <v>5.1999999999999998E-2</v>
      </c>
      <c r="AY6" s="54">
        <v>317</v>
      </c>
      <c r="AZ6" s="55">
        <v>4.2000000000000003E-2</v>
      </c>
      <c r="BA6" s="55">
        <v>0.03</v>
      </c>
      <c r="BB6" s="55">
        <v>5.2999999999999999E-2</v>
      </c>
      <c r="BC6" s="56">
        <v>273</v>
      </c>
      <c r="BD6" s="395">
        <f t="shared" si="2"/>
        <v>12.1</v>
      </c>
      <c r="BE6" s="395"/>
      <c r="BF6" s="395"/>
      <c r="BG6" s="396">
        <f t="shared" si="0"/>
        <v>7265</v>
      </c>
      <c r="BH6" s="402">
        <f t="shared" si="3"/>
        <v>0.53</v>
      </c>
      <c r="BI6" s="402"/>
      <c r="BJ6" s="402"/>
      <c r="BK6" s="403">
        <v>2960</v>
      </c>
      <c r="BL6" s="404">
        <v>0.61819999999999997</v>
      </c>
      <c r="BM6" s="404"/>
      <c r="BN6" s="404"/>
      <c r="BO6" s="405">
        <v>3265</v>
      </c>
      <c r="BP6" s="374">
        <v>1056</v>
      </c>
      <c r="BQ6" s="374">
        <v>602</v>
      </c>
    </row>
    <row r="7" spans="1:69" s="19" customFormat="1" ht="16.5" hidden="1" customHeight="1" x14ac:dyDescent="0.2">
      <c r="A7" s="219" t="s">
        <v>352</v>
      </c>
      <c r="B7" s="58" t="s">
        <v>84</v>
      </c>
      <c r="C7" s="20" t="s">
        <v>370</v>
      </c>
      <c r="D7" s="20" t="s">
        <v>87</v>
      </c>
      <c r="E7" s="21">
        <v>2019</v>
      </c>
      <c r="F7" s="22">
        <v>4</v>
      </c>
      <c r="G7" s="22">
        <v>269</v>
      </c>
      <c r="H7" s="22">
        <f t="shared" si="1"/>
        <v>67.25</v>
      </c>
      <c r="I7" s="40">
        <v>11.16</v>
      </c>
      <c r="J7" s="40">
        <v>0</v>
      </c>
      <c r="K7" s="40">
        <v>0</v>
      </c>
      <c r="L7" s="41">
        <v>7254</v>
      </c>
      <c r="M7" s="42">
        <v>0.38</v>
      </c>
      <c r="N7" s="42">
        <v>0</v>
      </c>
      <c r="O7" s="42">
        <v>0</v>
      </c>
      <c r="P7" s="43">
        <v>321</v>
      </c>
      <c r="Q7" s="40">
        <v>0</v>
      </c>
      <c r="R7" s="40">
        <v>0</v>
      </c>
      <c r="S7" s="40">
        <v>0</v>
      </c>
      <c r="T7" s="40">
        <v>0</v>
      </c>
      <c r="U7" s="44">
        <v>5.0999999999999997E-2</v>
      </c>
      <c r="V7" s="44">
        <v>0</v>
      </c>
      <c r="W7" s="44">
        <v>0</v>
      </c>
      <c r="X7" s="45">
        <v>378</v>
      </c>
      <c r="Y7" s="46">
        <v>0.08</v>
      </c>
      <c r="Z7" s="46">
        <v>0</v>
      </c>
      <c r="AA7" s="46">
        <v>0</v>
      </c>
      <c r="AB7" s="47">
        <v>450</v>
      </c>
      <c r="AC7" s="48">
        <v>9.0999999999999998E-2</v>
      </c>
      <c r="AD7" s="48">
        <v>0</v>
      </c>
      <c r="AE7" s="48">
        <v>0</v>
      </c>
      <c r="AF7" s="49">
        <v>672</v>
      </c>
      <c r="AG7" s="355">
        <v>9.5000000000000001E-2</v>
      </c>
      <c r="AH7" s="355">
        <v>0</v>
      </c>
      <c r="AI7" s="355">
        <v>0</v>
      </c>
      <c r="AJ7" s="356">
        <v>933</v>
      </c>
      <c r="AK7" s="50">
        <v>0.17</v>
      </c>
      <c r="AL7" s="50">
        <v>0</v>
      </c>
      <c r="AM7" s="50">
        <v>0</v>
      </c>
      <c r="AN7" s="372">
        <v>0.18660000000000004</v>
      </c>
      <c r="AO7" s="372">
        <v>6.5299999999999997E-2</v>
      </c>
      <c r="AP7" s="373">
        <v>7.4999999999999997E-2</v>
      </c>
      <c r="AQ7" s="374">
        <v>793</v>
      </c>
      <c r="AR7" s="51">
        <v>9.8000000000000004E-2</v>
      </c>
      <c r="AS7" s="51">
        <v>0</v>
      </c>
      <c r="AT7" s="51">
        <v>0</v>
      </c>
      <c r="AU7" s="52">
        <v>516</v>
      </c>
      <c r="AV7" s="53">
        <v>4.4999999999999998E-2</v>
      </c>
      <c r="AW7" s="53">
        <v>0</v>
      </c>
      <c r="AX7" s="53">
        <v>0</v>
      </c>
      <c r="AY7" s="54">
        <v>436</v>
      </c>
      <c r="AZ7" s="55">
        <v>4.7E-2</v>
      </c>
      <c r="BA7" s="55">
        <v>0</v>
      </c>
      <c r="BB7" s="55">
        <v>0</v>
      </c>
      <c r="BC7" s="56">
        <v>345</v>
      </c>
      <c r="BD7" s="395">
        <f t="shared" si="2"/>
        <v>11.540000000000001</v>
      </c>
      <c r="BE7" s="395">
        <f t="shared" si="0"/>
        <v>0</v>
      </c>
      <c r="BF7" s="395">
        <f t="shared" si="0"/>
        <v>0</v>
      </c>
      <c r="BG7" s="396">
        <f t="shared" si="0"/>
        <v>7575</v>
      </c>
      <c r="BH7" s="402">
        <f t="shared" si="3"/>
        <v>0.57900000000000007</v>
      </c>
      <c r="BI7" s="402">
        <v>0.34330000000000005</v>
      </c>
      <c r="BJ7" s="402">
        <v>0.51919999999999999</v>
      </c>
      <c r="BK7" s="403">
        <v>3042</v>
      </c>
      <c r="BL7" s="404">
        <v>0.53839999999999988</v>
      </c>
      <c r="BM7" s="404">
        <v>0.37470000000000003</v>
      </c>
      <c r="BN7" s="404">
        <v>0.5726</v>
      </c>
      <c r="BO7" s="405">
        <v>3377</v>
      </c>
      <c r="BP7" s="374">
        <v>1279</v>
      </c>
      <c r="BQ7" s="374">
        <v>494</v>
      </c>
    </row>
    <row r="8" spans="1:69" s="19" customFormat="1" ht="16.5" hidden="1" customHeight="1" x14ac:dyDescent="0.2">
      <c r="A8" s="219" t="s">
        <v>351</v>
      </c>
      <c r="B8" s="58" t="s">
        <v>84</v>
      </c>
      <c r="C8" s="20" t="s">
        <v>384</v>
      </c>
      <c r="D8" s="20" t="s">
        <v>87</v>
      </c>
      <c r="E8" s="21">
        <v>2019</v>
      </c>
      <c r="F8" s="22">
        <v>5</v>
      </c>
      <c r="G8" s="22">
        <v>271</v>
      </c>
      <c r="H8" s="22">
        <f t="shared" si="1"/>
        <v>54.2</v>
      </c>
      <c r="I8" s="40">
        <v>12.63</v>
      </c>
      <c r="J8" s="57" t="s">
        <v>367</v>
      </c>
      <c r="K8" s="57" t="s">
        <v>367</v>
      </c>
      <c r="L8" s="41">
        <v>8657</v>
      </c>
      <c r="M8" s="42">
        <v>0.13</v>
      </c>
      <c r="N8" s="42">
        <v>0</v>
      </c>
      <c r="O8" s="42">
        <v>0</v>
      </c>
      <c r="P8" s="43">
        <v>112</v>
      </c>
      <c r="Q8" s="40">
        <v>0</v>
      </c>
      <c r="R8" s="40">
        <v>0</v>
      </c>
      <c r="S8" s="40">
        <v>0</v>
      </c>
      <c r="T8" s="40">
        <v>0</v>
      </c>
      <c r="U8" s="44">
        <v>4.2999999999999997E-2</v>
      </c>
      <c r="V8" s="44">
        <v>0</v>
      </c>
      <c r="W8" s="44">
        <v>0</v>
      </c>
      <c r="X8" s="45">
        <v>558</v>
      </c>
      <c r="Y8" s="46">
        <v>5.8000000000000003E-2</v>
      </c>
      <c r="Z8" s="46">
        <v>0</v>
      </c>
      <c r="AA8" s="46">
        <v>0</v>
      </c>
      <c r="AB8" s="47">
        <v>577</v>
      </c>
      <c r="AC8" s="48">
        <v>0.124</v>
      </c>
      <c r="AD8" s="48">
        <v>0</v>
      </c>
      <c r="AE8" s="48">
        <v>0</v>
      </c>
      <c r="AF8" s="49">
        <v>1099</v>
      </c>
      <c r="AG8" s="355">
        <v>4.4999999999999998E-2</v>
      </c>
      <c r="AH8" s="355">
        <v>0</v>
      </c>
      <c r="AI8" s="355">
        <v>0</v>
      </c>
      <c r="AJ8" s="356">
        <v>505</v>
      </c>
      <c r="AK8" s="50">
        <v>0.105</v>
      </c>
      <c r="AL8" s="50">
        <v>0</v>
      </c>
      <c r="AM8" s="50">
        <v>0</v>
      </c>
      <c r="AN8" s="372">
        <v>0.17799999999999999</v>
      </c>
      <c r="AO8" s="372">
        <v>5.1400000000000001E-2</v>
      </c>
      <c r="AP8" s="373">
        <v>0.12659999999999999</v>
      </c>
      <c r="AQ8" s="375">
        <v>763</v>
      </c>
      <c r="AR8" s="51">
        <v>8.4000000000000005E-2</v>
      </c>
      <c r="AS8" s="51">
        <v>0</v>
      </c>
      <c r="AT8" s="51">
        <v>0</v>
      </c>
      <c r="AU8" s="52">
        <v>823</v>
      </c>
      <c r="AV8" s="53">
        <v>3.6999999999999998E-2</v>
      </c>
      <c r="AW8" s="53">
        <v>0</v>
      </c>
      <c r="AX8" s="53">
        <v>0</v>
      </c>
      <c r="AY8" s="54">
        <v>377</v>
      </c>
      <c r="AZ8" s="55">
        <v>5.5E-2</v>
      </c>
      <c r="BA8" s="55">
        <v>0</v>
      </c>
      <c r="BB8" s="55">
        <v>0</v>
      </c>
      <c r="BC8" s="56">
        <v>471</v>
      </c>
      <c r="BD8" s="395">
        <f t="shared" si="2"/>
        <v>12.760000000000002</v>
      </c>
      <c r="BE8" s="395"/>
      <c r="BF8" s="395"/>
      <c r="BG8" s="396">
        <f t="shared" si="0"/>
        <v>8769</v>
      </c>
      <c r="BH8" s="402">
        <f t="shared" si="3"/>
        <v>0.45299999999999996</v>
      </c>
      <c r="BI8" s="402"/>
      <c r="BJ8" s="402"/>
      <c r="BK8" s="403">
        <v>2925</v>
      </c>
      <c r="BL8" s="404">
        <v>0.49689999999999995</v>
      </c>
      <c r="BM8" s="404"/>
      <c r="BN8" s="404"/>
      <c r="BO8" s="405">
        <v>3469</v>
      </c>
      <c r="BP8" s="374">
        <v>1572</v>
      </c>
      <c r="BQ8" s="374">
        <v>356</v>
      </c>
    </row>
    <row r="9" spans="1:69" ht="16.5" hidden="1" customHeight="1" x14ac:dyDescent="0.2">
      <c r="A9" s="219" t="s">
        <v>355</v>
      </c>
      <c r="B9" s="58" t="s">
        <v>84</v>
      </c>
      <c r="C9" s="20" t="s">
        <v>88</v>
      </c>
      <c r="D9" s="20" t="s">
        <v>87</v>
      </c>
      <c r="E9" s="21">
        <v>2019</v>
      </c>
      <c r="F9" s="22">
        <v>7</v>
      </c>
      <c r="G9" s="22">
        <v>419</v>
      </c>
      <c r="H9" s="22">
        <f t="shared" si="1"/>
        <v>59.857142857142854</v>
      </c>
      <c r="I9" s="40">
        <v>12.63</v>
      </c>
      <c r="J9" s="40">
        <v>0</v>
      </c>
      <c r="K9" s="40">
        <v>0</v>
      </c>
      <c r="L9" s="41">
        <v>8657</v>
      </c>
      <c r="M9" s="42">
        <v>0.16</v>
      </c>
      <c r="N9" s="42">
        <v>0</v>
      </c>
      <c r="O9" s="42">
        <v>0</v>
      </c>
      <c r="P9" s="43">
        <v>112</v>
      </c>
      <c r="Q9" s="40">
        <v>0</v>
      </c>
      <c r="R9" s="40">
        <v>0</v>
      </c>
      <c r="S9" s="40">
        <v>0</v>
      </c>
      <c r="T9" s="40">
        <v>0</v>
      </c>
      <c r="U9" s="44">
        <v>3.1E-2</v>
      </c>
      <c r="V9" s="44">
        <v>0</v>
      </c>
      <c r="W9" s="44">
        <v>0</v>
      </c>
      <c r="X9" s="45">
        <v>260</v>
      </c>
      <c r="Y9" s="46">
        <v>5.8000000000000003E-2</v>
      </c>
      <c r="Z9" s="46">
        <v>0</v>
      </c>
      <c r="AA9" s="46">
        <v>0</v>
      </c>
      <c r="AB9" s="47">
        <v>454</v>
      </c>
      <c r="AC9" s="48">
        <v>0.13600000000000001</v>
      </c>
      <c r="AD9" s="48">
        <v>0</v>
      </c>
      <c r="AE9" s="48">
        <v>0</v>
      </c>
      <c r="AF9" s="49">
        <v>1594</v>
      </c>
      <c r="AG9" s="355">
        <v>4.4999999999999998E-2</v>
      </c>
      <c r="AH9" s="355">
        <v>0</v>
      </c>
      <c r="AI9" s="355">
        <v>0</v>
      </c>
      <c r="AJ9" s="356">
        <v>463</v>
      </c>
      <c r="AK9" s="50">
        <v>0.105</v>
      </c>
      <c r="AL9" s="50">
        <v>0</v>
      </c>
      <c r="AM9" s="50">
        <v>0</v>
      </c>
      <c r="AN9" s="372">
        <v>0.27509999999999996</v>
      </c>
      <c r="AO9" s="372">
        <v>9.8500000000000004E-2</v>
      </c>
      <c r="AP9" s="373"/>
      <c r="AQ9" s="374">
        <v>715</v>
      </c>
      <c r="AR9" s="51">
        <v>8.4000000000000005E-2</v>
      </c>
      <c r="AS9" s="51">
        <v>0</v>
      </c>
      <c r="AT9" s="51">
        <v>0</v>
      </c>
      <c r="AU9" s="52">
        <v>823</v>
      </c>
      <c r="AV9" s="53">
        <v>4.2000000000000003E-2</v>
      </c>
      <c r="AW9" s="53">
        <v>0</v>
      </c>
      <c r="AX9" s="53">
        <v>0</v>
      </c>
      <c r="AY9" s="54">
        <v>386</v>
      </c>
      <c r="AZ9" s="55">
        <v>4.2999999999999997E-2</v>
      </c>
      <c r="BA9" s="55">
        <v>0</v>
      </c>
      <c r="BB9" s="55">
        <v>0</v>
      </c>
      <c r="BC9" s="56">
        <v>426</v>
      </c>
      <c r="BD9" s="395">
        <f t="shared" si="2"/>
        <v>12.790000000000001</v>
      </c>
      <c r="BE9" s="395"/>
      <c r="BF9" s="395"/>
      <c r="BG9" s="396">
        <f t="shared" si="0"/>
        <v>8769</v>
      </c>
      <c r="BH9" s="402">
        <f t="shared" si="3"/>
        <v>0.47</v>
      </c>
      <c r="BI9" s="402"/>
      <c r="BJ9" s="402"/>
      <c r="BK9" s="403">
        <v>3037</v>
      </c>
      <c r="BL9" s="404">
        <v>0.66789999999999994</v>
      </c>
      <c r="BM9" s="404"/>
      <c r="BN9" s="404"/>
      <c r="BO9" s="405">
        <v>3298</v>
      </c>
      <c r="BP9" s="406">
        <v>1458</v>
      </c>
      <c r="BQ9" s="406">
        <v>592</v>
      </c>
    </row>
    <row r="10" spans="1:69" ht="16.5" hidden="1" customHeight="1" x14ac:dyDescent="0.2">
      <c r="A10" s="219" t="s">
        <v>354</v>
      </c>
      <c r="B10" s="58" t="s">
        <v>84</v>
      </c>
      <c r="C10" s="20" t="s">
        <v>386</v>
      </c>
      <c r="D10" s="20" t="s">
        <v>116</v>
      </c>
      <c r="E10" s="21">
        <v>2019</v>
      </c>
      <c r="F10" s="59">
        <v>6</v>
      </c>
      <c r="G10" s="59">
        <v>322</v>
      </c>
      <c r="H10" s="22">
        <f t="shared" si="1"/>
        <v>53.666666666666664</v>
      </c>
      <c r="I10" s="61">
        <v>11.38</v>
      </c>
      <c r="J10" s="61">
        <v>0</v>
      </c>
      <c r="K10" s="61">
        <v>0</v>
      </c>
      <c r="L10" s="62">
        <v>8941</v>
      </c>
      <c r="M10" s="42">
        <v>0.41</v>
      </c>
      <c r="N10" s="42">
        <v>0</v>
      </c>
      <c r="O10" s="42">
        <v>0</v>
      </c>
      <c r="P10" s="43">
        <v>246</v>
      </c>
      <c r="Q10" s="40">
        <v>0</v>
      </c>
      <c r="R10" s="40">
        <v>0</v>
      </c>
      <c r="S10" s="40">
        <v>0</v>
      </c>
      <c r="T10" s="40">
        <v>0</v>
      </c>
      <c r="U10" s="63">
        <v>4.2999999999999997E-2</v>
      </c>
      <c r="V10" s="63">
        <v>0</v>
      </c>
      <c r="W10" s="63">
        <v>0</v>
      </c>
      <c r="X10" s="64">
        <v>366</v>
      </c>
      <c r="Y10" s="65">
        <v>0.05</v>
      </c>
      <c r="Z10" s="65">
        <v>0</v>
      </c>
      <c r="AA10" s="65">
        <v>0</v>
      </c>
      <c r="AB10" s="66">
        <v>461</v>
      </c>
      <c r="AC10" s="67">
        <v>0.11600000000000001</v>
      </c>
      <c r="AD10" s="67">
        <v>0</v>
      </c>
      <c r="AE10" s="67">
        <v>0</v>
      </c>
      <c r="AF10" s="68">
        <v>1051</v>
      </c>
      <c r="AG10" s="357">
        <v>8.4000000000000005E-2</v>
      </c>
      <c r="AH10" s="357">
        <v>0</v>
      </c>
      <c r="AI10" s="357">
        <v>0</v>
      </c>
      <c r="AJ10" s="358">
        <v>759</v>
      </c>
      <c r="AK10" s="69">
        <v>0.128</v>
      </c>
      <c r="AL10" s="69">
        <v>0</v>
      </c>
      <c r="AM10" s="69">
        <v>0</v>
      </c>
      <c r="AN10" s="376">
        <v>0.24540000000000006</v>
      </c>
      <c r="AO10" s="376">
        <v>4.7100000000000003E-2</v>
      </c>
      <c r="AP10" s="377"/>
      <c r="AQ10" s="378">
        <v>837</v>
      </c>
      <c r="AR10" s="71">
        <v>6.9000000000000006E-2</v>
      </c>
      <c r="AS10" s="71">
        <v>0</v>
      </c>
      <c r="AT10" s="71">
        <v>0</v>
      </c>
      <c r="AU10" s="72">
        <v>670</v>
      </c>
      <c r="AV10" s="73">
        <v>4.5999999999999999E-2</v>
      </c>
      <c r="AW10" s="73">
        <v>0</v>
      </c>
      <c r="AX10" s="73">
        <v>0</v>
      </c>
      <c r="AY10" s="74">
        <v>334</v>
      </c>
      <c r="AZ10" s="75">
        <v>0.05</v>
      </c>
      <c r="BA10" s="75">
        <v>0</v>
      </c>
      <c r="BB10" s="75">
        <v>0</v>
      </c>
      <c r="BC10" s="76">
        <v>548</v>
      </c>
      <c r="BD10" s="395">
        <f t="shared" si="2"/>
        <v>11.790000000000001</v>
      </c>
      <c r="BE10" s="395"/>
      <c r="BF10" s="395"/>
      <c r="BG10" s="396">
        <f t="shared" si="0"/>
        <v>9187</v>
      </c>
      <c r="BH10" s="402">
        <f t="shared" si="3"/>
        <v>0.49299999999999999</v>
      </c>
      <c r="BI10" s="402"/>
      <c r="BJ10" s="402"/>
      <c r="BK10" s="403">
        <v>3024</v>
      </c>
      <c r="BL10" s="404">
        <v>0.51939999999999997</v>
      </c>
      <c r="BM10" s="404"/>
      <c r="BN10" s="404"/>
      <c r="BO10" s="405">
        <v>3499</v>
      </c>
      <c r="BP10" s="406">
        <v>2108</v>
      </c>
      <c r="BQ10" s="406">
        <v>439</v>
      </c>
    </row>
    <row r="11" spans="1:69" ht="16.5" hidden="1" customHeight="1" x14ac:dyDescent="0.2">
      <c r="A11" s="219" t="s">
        <v>353</v>
      </c>
      <c r="B11" s="58" t="s">
        <v>84</v>
      </c>
      <c r="C11" s="20" t="s">
        <v>387</v>
      </c>
      <c r="D11" s="20" t="s">
        <v>116</v>
      </c>
      <c r="E11" s="21">
        <v>2019</v>
      </c>
      <c r="F11" s="59">
        <v>16</v>
      </c>
      <c r="G11" s="59">
        <v>877</v>
      </c>
      <c r="H11" s="22">
        <f t="shared" si="1"/>
        <v>54.8125</v>
      </c>
      <c r="I11" s="61">
        <v>11.86</v>
      </c>
      <c r="J11" s="61">
        <v>11.4</v>
      </c>
      <c r="K11" s="61">
        <v>12.67</v>
      </c>
      <c r="L11" s="62">
        <v>7125</v>
      </c>
      <c r="M11" s="42">
        <v>0.24</v>
      </c>
      <c r="N11" s="42">
        <v>0.18</v>
      </c>
      <c r="O11" s="42">
        <v>0.51</v>
      </c>
      <c r="P11" s="43">
        <v>161</v>
      </c>
      <c r="Q11" s="40">
        <v>0</v>
      </c>
      <c r="R11" s="40">
        <v>0</v>
      </c>
      <c r="S11" s="40">
        <v>0</v>
      </c>
      <c r="T11" s="40">
        <v>0</v>
      </c>
      <c r="U11" s="63">
        <v>3.9E-2</v>
      </c>
      <c r="V11" s="63">
        <v>8.9999999999999998E-4</v>
      </c>
      <c r="W11" s="63">
        <v>6.0999999999999999E-2</v>
      </c>
      <c r="X11" s="64">
        <v>335</v>
      </c>
      <c r="Y11" s="65">
        <v>5.5E-2</v>
      </c>
      <c r="Z11" s="65">
        <v>0.05</v>
      </c>
      <c r="AA11" s="65">
        <v>5.8999999999999997E-2</v>
      </c>
      <c r="AB11" s="66">
        <v>413</v>
      </c>
      <c r="AC11" s="67">
        <v>0.192</v>
      </c>
      <c r="AD11" s="67">
        <v>0.154</v>
      </c>
      <c r="AE11" s="67">
        <v>0.21</v>
      </c>
      <c r="AF11" s="68">
        <v>1388</v>
      </c>
      <c r="AG11" s="357">
        <v>7.0999999999999994E-2</v>
      </c>
      <c r="AH11" s="357">
        <v>6.2E-2</v>
      </c>
      <c r="AI11" s="357">
        <v>8.3000000000000004E-2</v>
      </c>
      <c r="AJ11" s="358">
        <v>541</v>
      </c>
      <c r="AK11" s="69">
        <v>0.13300000000000001</v>
      </c>
      <c r="AL11" s="69">
        <v>7.6999999999999999E-2</v>
      </c>
      <c r="AM11" s="69">
        <v>0.16900000000000001</v>
      </c>
      <c r="AN11" s="376">
        <v>0.24530000000000005</v>
      </c>
      <c r="AO11" s="376">
        <v>4.7E-2</v>
      </c>
      <c r="AP11" s="377"/>
      <c r="AQ11" s="378">
        <v>836</v>
      </c>
      <c r="AR11" s="71">
        <v>6.5000000000000002E-2</v>
      </c>
      <c r="AS11" s="71">
        <v>4.2999999999999997E-2</v>
      </c>
      <c r="AT11" s="71">
        <v>0.09</v>
      </c>
      <c r="AU11" s="72">
        <v>420</v>
      </c>
      <c r="AV11" s="73">
        <v>4.7E-2</v>
      </c>
      <c r="AW11" s="73">
        <v>4.1000000000000002E-2</v>
      </c>
      <c r="AX11" s="73">
        <v>5.3999999999999999E-2</v>
      </c>
      <c r="AY11" s="74">
        <v>369</v>
      </c>
      <c r="AZ11" s="75">
        <v>3.7999999999999999E-2</v>
      </c>
      <c r="BA11" s="75">
        <v>0.03</v>
      </c>
      <c r="BB11" s="75">
        <v>4.4999999999999998E-2</v>
      </c>
      <c r="BC11" s="76">
        <v>269</v>
      </c>
      <c r="BD11" s="395">
        <f t="shared" si="2"/>
        <v>12.1</v>
      </c>
      <c r="BE11" s="395"/>
      <c r="BF11" s="395"/>
      <c r="BG11" s="396">
        <f t="shared" si="0"/>
        <v>7286</v>
      </c>
      <c r="BH11" s="402">
        <f t="shared" si="3"/>
        <v>0.56300000000000006</v>
      </c>
      <c r="BI11" s="402"/>
      <c r="BJ11" s="402"/>
      <c r="BK11" s="403">
        <v>3929</v>
      </c>
      <c r="BL11" s="404">
        <v>0.5454</v>
      </c>
      <c r="BM11" s="404"/>
      <c r="BN11" s="404"/>
      <c r="BO11" s="405">
        <v>4318</v>
      </c>
      <c r="BP11" s="406">
        <v>2077</v>
      </c>
      <c r="BQ11" s="406">
        <v>408</v>
      </c>
    </row>
    <row r="12" spans="1:69" ht="16.5" hidden="1" customHeight="1" x14ac:dyDescent="0.2">
      <c r="A12" s="219" t="s">
        <v>363</v>
      </c>
      <c r="B12" s="58" t="s">
        <v>84</v>
      </c>
      <c r="C12" s="20" t="s">
        <v>388</v>
      </c>
      <c r="D12" s="20" t="s">
        <v>116</v>
      </c>
      <c r="E12" s="21">
        <v>2019</v>
      </c>
      <c r="F12" s="59">
        <v>8</v>
      </c>
      <c r="G12" s="59">
        <v>460</v>
      </c>
      <c r="H12" s="22">
        <f t="shared" si="1"/>
        <v>57.5</v>
      </c>
      <c r="I12" s="61">
        <v>10.02</v>
      </c>
      <c r="J12" s="61">
        <v>0</v>
      </c>
      <c r="K12" s="61">
        <v>0</v>
      </c>
      <c r="L12" s="62">
        <v>8401</v>
      </c>
      <c r="M12" s="42">
        <v>0.41</v>
      </c>
      <c r="N12" s="42">
        <v>0</v>
      </c>
      <c r="O12" s="42">
        <v>0</v>
      </c>
      <c r="P12" s="43">
        <v>246</v>
      </c>
      <c r="Q12" s="40">
        <v>0</v>
      </c>
      <c r="R12" s="40">
        <v>0</v>
      </c>
      <c r="S12" s="40">
        <v>0</v>
      </c>
      <c r="T12" s="40">
        <v>0</v>
      </c>
      <c r="U12" s="63">
        <v>4.2999999999999997E-2</v>
      </c>
      <c r="V12" s="63">
        <v>0</v>
      </c>
      <c r="W12" s="63">
        <v>0</v>
      </c>
      <c r="X12" s="64">
        <v>366</v>
      </c>
      <c r="Y12" s="65">
        <v>5.1999999999999998E-2</v>
      </c>
      <c r="Z12" s="65">
        <v>0</v>
      </c>
      <c r="AA12" s="65">
        <v>0</v>
      </c>
      <c r="AB12" s="66">
        <v>432</v>
      </c>
      <c r="AC12" s="67">
        <v>0.11600000000000001</v>
      </c>
      <c r="AD12" s="67">
        <v>0</v>
      </c>
      <c r="AE12" s="67">
        <v>0</v>
      </c>
      <c r="AF12" s="68">
        <v>1018</v>
      </c>
      <c r="AG12" s="357">
        <v>7.9000000000000001E-2</v>
      </c>
      <c r="AH12" s="357">
        <v>0</v>
      </c>
      <c r="AI12" s="357">
        <v>0</v>
      </c>
      <c r="AJ12" s="358">
        <v>698</v>
      </c>
      <c r="AK12" s="69">
        <v>0.128</v>
      </c>
      <c r="AL12" s="69">
        <v>0</v>
      </c>
      <c r="AM12" s="69">
        <v>0</v>
      </c>
      <c r="AN12" s="376">
        <v>0.31190000000000001</v>
      </c>
      <c r="AO12" s="376">
        <v>0.10120000000000001</v>
      </c>
      <c r="AP12" s="377"/>
      <c r="AQ12" s="378">
        <v>860</v>
      </c>
      <c r="AR12" s="71">
        <v>6.9000000000000006E-2</v>
      </c>
      <c r="AS12" s="71">
        <v>0</v>
      </c>
      <c r="AT12" s="71">
        <v>0</v>
      </c>
      <c r="AU12" s="72">
        <v>670</v>
      </c>
      <c r="AV12" s="73">
        <v>4.1000000000000002E-2</v>
      </c>
      <c r="AW12" s="73">
        <v>0</v>
      </c>
      <c r="AX12" s="73">
        <v>0</v>
      </c>
      <c r="AY12" s="74">
        <v>325</v>
      </c>
      <c r="AZ12" s="75">
        <v>5.1999999999999998E-2</v>
      </c>
      <c r="BA12" s="75">
        <v>0</v>
      </c>
      <c r="BB12" s="75">
        <v>0</v>
      </c>
      <c r="BC12" s="76">
        <v>414</v>
      </c>
      <c r="BD12" s="395">
        <f t="shared" si="2"/>
        <v>10.43</v>
      </c>
      <c r="BE12" s="395"/>
      <c r="BF12" s="395"/>
      <c r="BG12" s="396">
        <f t="shared" si="0"/>
        <v>8647</v>
      </c>
      <c r="BH12" s="402">
        <f t="shared" si="3"/>
        <v>0.48499999999999999</v>
      </c>
      <c r="BI12" s="402"/>
      <c r="BJ12" s="402"/>
      <c r="BK12" s="403">
        <v>2671</v>
      </c>
      <c r="BL12" s="404">
        <v>0.48469999999999996</v>
      </c>
      <c r="BM12" s="404"/>
      <c r="BN12" s="404"/>
      <c r="BO12" s="405">
        <v>2932</v>
      </c>
      <c r="BP12" s="406">
        <v>1823</v>
      </c>
      <c r="BQ12" s="406">
        <v>754</v>
      </c>
    </row>
    <row r="13" spans="1:69" ht="16.5" hidden="1" customHeight="1" x14ac:dyDescent="0.2">
      <c r="A13" s="219" t="s">
        <v>350</v>
      </c>
      <c r="B13" s="58" t="s">
        <v>84</v>
      </c>
      <c r="C13" s="20" t="s">
        <v>362</v>
      </c>
      <c r="D13" s="20" t="s">
        <v>87</v>
      </c>
      <c r="E13" s="21">
        <v>2019</v>
      </c>
      <c r="F13" s="59">
        <v>13</v>
      </c>
      <c r="G13" s="59">
        <v>950</v>
      </c>
      <c r="H13" s="22">
        <f t="shared" si="1"/>
        <v>73.07692307692308</v>
      </c>
      <c r="I13" s="61">
        <v>11.24</v>
      </c>
      <c r="J13" s="61">
        <v>9.31</v>
      </c>
      <c r="K13" s="61">
        <v>12.76</v>
      </c>
      <c r="L13" s="62">
        <v>7990</v>
      </c>
      <c r="M13" s="42">
        <v>0.19</v>
      </c>
      <c r="N13" s="42">
        <v>0.15</v>
      </c>
      <c r="O13" s="42">
        <v>0.38</v>
      </c>
      <c r="P13" s="43">
        <v>147</v>
      </c>
      <c r="Q13" s="40">
        <v>0</v>
      </c>
      <c r="R13" s="40">
        <v>0</v>
      </c>
      <c r="S13" s="40">
        <v>0</v>
      </c>
      <c r="T13" s="40">
        <v>0</v>
      </c>
      <c r="U13" s="63">
        <v>4.2999999999999997E-2</v>
      </c>
      <c r="V13" s="63">
        <v>2.7E-2</v>
      </c>
      <c r="W13" s="63">
        <v>5.0999999999999997E-2</v>
      </c>
      <c r="X13" s="64">
        <v>329</v>
      </c>
      <c r="Y13" s="65">
        <v>5.6000000000000001E-2</v>
      </c>
      <c r="Z13" s="65">
        <v>4.5999999999999999E-2</v>
      </c>
      <c r="AA13" s="65">
        <v>6.6000000000000003E-2</v>
      </c>
      <c r="AB13" s="66">
        <v>450</v>
      </c>
      <c r="AC13" s="67">
        <v>9.8000000000000004E-2</v>
      </c>
      <c r="AD13" s="67">
        <v>8.8999999999999996E-2</v>
      </c>
      <c r="AE13" s="67">
        <v>0.124</v>
      </c>
      <c r="AF13" s="77">
        <v>876</v>
      </c>
      <c r="AG13" s="359">
        <v>5.8999999999999997E-2</v>
      </c>
      <c r="AH13" s="359">
        <v>0</v>
      </c>
      <c r="AI13" s="359">
        <v>0</v>
      </c>
      <c r="AJ13" s="360">
        <v>489</v>
      </c>
      <c r="AK13" s="69">
        <v>0.105</v>
      </c>
      <c r="AL13" s="69">
        <v>9.9000000000000005E-2</v>
      </c>
      <c r="AM13" s="69">
        <v>0.111</v>
      </c>
      <c r="AN13" s="376">
        <v>0.1789</v>
      </c>
      <c r="AO13" s="376">
        <v>2.58E-2</v>
      </c>
      <c r="AP13" s="377"/>
      <c r="AQ13" s="378">
        <v>936</v>
      </c>
      <c r="AR13" s="71">
        <v>8.4000000000000005E-2</v>
      </c>
      <c r="AS13" s="71">
        <v>4.9000000000000002E-2</v>
      </c>
      <c r="AT13" s="71">
        <v>0.10199999999999999</v>
      </c>
      <c r="AU13" s="72">
        <v>791</v>
      </c>
      <c r="AV13" s="73">
        <v>4.3999999999999997E-2</v>
      </c>
      <c r="AW13" s="73">
        <v>3.6999999999999998E-2</v>
      </c>
      <c r="AX13" s="73">
        <v>4.4999999999999998E-2</v>
      </c>
      <c r="AY13" s="74">
        <v>377</v>
      </c>
      <c r="AZ13" s="75">
        <v>4.2999999999999997E-2</v>
      </c>
      <c r="BA13" s="75">
        <v>3.4000000000000002E-2</v>
      </c>
      <c r="BB13" s="75">
        <v>5.8000000000000003E-2</v>
      </c>
      <c r="BC13" s="76">
        <v>420</v>
      </c>
      <c r="BD13" s="395">
        <f t="shared" si="2"/>
        <v>11.43</v>
      </c>
      <c r="BE13" s="395"/>
      <c r="BF13" s="395"/>
      <c r="BG13" s="396">
        <f t="shared" si="0"/>
        <v>8137</v>
      </c>
      <c r="BH13" s="402">
        <f t="shared" si="3"/>
        <v>0.44600000000000001</v>
      </c>
      <c r="BI13" s="402"/>
      <c r="BJ13" s="402"/>
      <c r="BK13" s="403">
        <v>3814</v>
      </c>
      <c r="BL13" s="404">
        <v>0.61280000000000001</v>
      </c>
      <c r="BM13" s="404"/>
      <c r="BN13" s="404"/>
      <c r="BO13" s="405">
        <v>4358</v>
      </c>
      <c r="BP13" s="406">
        <v>1560</v>
      </c>
      <c r="BQ13" s="406">
        <v>247</v>
      </c>
    </row>
    <row r="14" spans="1:69" ht="16.5" hidden="1" customHeight="1" x14ac:dyDescent="0.2">
      <c r="A14" s="219" t="s">
        <v>349</v>
      </c>
      <c r="B14" s="58" t="s">
        <v>84</v>
      </c>
      <c r="C14" s="20" t="s">
        <v>364</v>
      </c>
      <c r="D14" s="20" t="s">
        <v>86</v>
      </c>
      <c r="E14" s="21">
        <v>2019</v>
      </c>
      <c r="F14" s="59">
        <v>18</v>
      </c>
      <c r="G14" s="59">
        <v>1341</v>
      </c>
      <c r="H14" s="22">
        <f t="shared" si="1"/>
        <v>74.5</v>
      </c>
      <c r="I14" s="61">
        <v>15.94</v>
      </c>
      <c r="J14" s="61">
        <v>13.81</v>
      </c>
      <c r="K14" s="61">
        <v>17.16</v>
      </c>
      <c r="L14" s="62">
        <v>8469</v>
      </c>
      <c r="M14" s="42">
        <v>0.72</v>
      </c>
      <c r="N14" s="42">
        <v>0.54</v>
      </c>
      <c r="O14" s="42">
        <v>0.92</v>
      </c>
      <c r="P14" s="43">
        <v>386</v>
      </c>
      <c r="Q14" s="40">
        <v>0</v>
      </c>
      <c r="R14" s="40">
        <v>0</v>
      </c>
      <c r="S14" s="40">
        <v>0</v>
      </c>
      <c r="T14" s="40">
        <v>0</v>
      </c>
      <c r="U14" s="63">
        <v>0.03</v>
      </c>
      <c r="V14" s="63">
        <v>1.2999999999999999E-2</v>
      </c>
      <c r="W14" s="63">
        <v>3.5999999999999997E-2</v>
      </c>
      <c r="X14" s="64">
        <v>261</v>
      </c>
      <c r="Y14" s="65">
        <v>0.05</v>
      </c>
      <c r="Z14" s="65">
        <v>4.5999999999999999E-2</v>
      </c>
      <c r="AA14" s="65">
        <v>5.3999999999999999E-2</v>
      </c>
      <c r="AB14" s="66">
        <v>462</v>
      </c>
      <c r="AC14" s="67">
        <v>0.14699999999999999</v>
      </c>
      <c r="AD14" s="67">
        <v>0.13500000000000001</v>
      </c>
      <c r="AE14" s="67">
        <v>0.17799999999999999</v>
      </c>
      <c r="AF14" s="77">
        <v>1435</v>
      </c>
      <c r="AG14" s="359">
        <v>5.5E-2</v>
      </c>
      <c r="AH14" s="359">
        <v>4.2999999999999997E-2</v>
      </c>
      <c r="AI14" s="359">
        <v>6.3E-2</v>
      </c>
      <c r="AJ14" s="360">
        <v>568</v>
      </c>
      <c r="AK14" s="69">
        <v>0.121</v>
      </c>
      <c r="AL14" s="69">
        <v>0.109</v>
      </c>
      <c r="AM14" s="69">
        <v>0.14399999999999999</v>
      </c>
      <c r="AN14" s="376">
        <v>0.12590000000000001</v>
      </c>
      <c r="AO14" s="376">
        <v>2.07E-2</v>
      </c>
      <c r="AP14" s="377"/>
      <c r="AQ14" s="378">
        <v>1253</v>
      </c>
      <c r="AR14" s="71">
        <v>5.8999999999999997E-2</v>
      </c>
      <c r="AS14" s="71">
        <v>4.9000000000000002E-2</v>
      </c>
      <c r="AT14" s="71">
        <v>0.104</v>
      </c>
      <c r="AU14" s="72">
        <v>546</v>
      </c>
      <c r="AV14" s="73">
        <v>4.1000000000000002E-2</v>
      </c>
      <c r="AW14" s="73">
        <v>3.7999999999999999E-2</v>
      </c>
      <c r="AX14" s="73">
        <v>4.3999999999999997E-2</v>
      </c>
      <c r="AY14" s="74">
        <v>380</v>
      </c>
      <c r="AZ14" s="75">
        <v>5.8999999999999997E-2</v>
      </c>
      <c r="BA14" s="75">
        <v>0.05</v>
      </c>
      <c r="BB14" s="75">
        <v>6.0999999999999999E-2</v>
      </c>
      <c r="BC14" s="76">
        <v>511</v>
      </c>
      <c r="BD14" s="395">
        <f t="shared" si="2"/>
        <v>16.66</v>
      </c>
      <c r="BE14" s="395"/>
      <c r="BF14" s="395"/>
      <c r="BG14" s="396">
        <f t="shared" si="0"/>
        <v>8855</v>
      </c>
      <c r="BH14" s="402">
        <f t="shared" si="3"/>
        <v>0.47299999999999998</v>
      </c>
      <c r="BI14" s="402"/>
      <c r="BJ14" s="402"/>
      <c r="BK14" s="403">
        <v>3788</v>
      </c>
      <c r="BL14" s="404">
        <v>0.44590000000000002</v>
      </c>
      <c r="BM14" s="404"/>
      <c r="BN14" s="404"/>
      <c r="BO14" s="405">
        <v>4262</v>
      </c>
      <c r="BP14" s="406">
        <v>1207</v>
      </c>
      <c r="BQ14" s="406">
        <v>200</v>
      </c>
    </row>
    <row r="15" spans="1:69" ht="16.5" hidden="1" customHeight="1" x14ac:dyDescent="0.2">
      <c r="A15" s="219" t="s">
        <v>358</v>
      </c>
      <c r="B15" s="58" t="s">
        <v>84</v>
      </c>
      <c r="C15" s="20" t="s">
        <v>361</v>
      </c>
      <c r="D15" s="20" t="s">
        <v>86</v>
      </c>
      <c r="E15" s="21">
        <v>2019</v>
      </c>
      <c r="F15" s="59">
        <v>16</v>
      </c>
      <c r="G15" s="59">
        <v>1108</v>
      </c>
      <c r="H15" s="22">
        <f t="shared" si="1"/>
        <v>69.25</v>
      </c>
      <c r="I15" s="61">
        <v>16.350000000000001</v>
      </c>
      <c r="J15" s="61">
        <v>14.58</v>
      </c>
      <c r="K15" s="61">
        <v>17.16</v>
      </c>
      <c r="L15" s="62">
        <v>8469</v>
      </c>
      <c r="M15" s="42">
        <v>0.72</v>
      </c>
      <c r="N15" s="42">
        <v>0.54</v>
      </c>
      <c r="O15" s="42">
        <v>0.85</v>
      </c>
      <c r="P15" s="43">
        <v>386</v>
      </c>
      <c r="Q15" s="40">
        <v>0</v>
      </c>
      <c r="R15" s="40">
        <v>0</v>
      </c>
      <c r="S15" s="40">
        <v>0</v>
      </c>
      <c r="T15" s="40">
        <v>0</v>
      </c>
      <c r="U15" s="63">
        <v>3.2000000000000001E-2</v>
      </c>
      <c r="V15" s="63">
        <v>1.4999999999999999E-2</v>
      </c>
      <c r="W15" s="63">
        <v>3.5999999999999997E-2</v>
      </c>
      <c r="X15" s="78">
        <v>278</v>
      </c>
      <c r="Y15" s="65">
        <v>0.05</v>
      </c>
      <c r="Z15" s="65">
        <v>4.5999999999999999E-2</v>
      </c>
      <c r="AA15" s="65">
        <v>5.2999999999999999E-2</v>
      </c>
      <c r="AB15" s="66">
        <v>462</v>
      </c>
      <c r="AC15" s="67">
        <v>0.157</v>
      </c>
      <c r="AD15" s="67">
        <v>0.14000000000000001</v>
      </c>
      <c r="AE15" s="67">
        <v>0.17799999999999999</v>
      </c>
      <c r="AF15" s="77">
        <v>1453</v>
      </c>
      <c r="AG15" s="359">
        <v>5.3999999999999999E-2</v>
      </c>
      <c r="AH15" s="359">
        <v>4.2000000000000003E-2</v>
      </c>
      <c r="AI15" s="359">
        <v>5.8000000000000003E-2</v>
      </c>
      <c r="AJ15" s="360">
        <v>534</v>
      </c>
      <c r="AK15" s="69">
        <v>0.121</v>
      </c>
      <c r="AL15" s="69">
        <v>0.109</v>
      </c>
      <c r="AM15" s="69">
        <v>0.13900000000000001</v>
      </c>
      <c r="AN15" s="376">
        <v>8.6900000000000005E-2</v>
      </c>
      <c r="AO15" s="376">
        <v>5.0299999999999997E-2</v>
      </c>
      <c r="AP15" s="377"/>
      <c r="AQ15" s="378">
        <v>836</v>
      </c>
      <c r="AR15" s="71">
        <v>6.4000000000000001E-2</v>
      </c>
      <c r="AS15" s="71">
        <v>4.9000000000000002E-2</v>
      </c>
      <c r="AT15" s="71">
        <v>0.104</v>
      </c>
      <c r="AU15" s="72">
        <v>564</v>
      </c>
      <c r="AV15" s="73">
        <v>4.2999999999999997E-2</v>
      </c>
      <c r="AW15" s="73">
        <v>3.9E-2</v>
      </c>
      <c r="AX15" s="73">
        <v>4.3999999999999997E-2</v>
      </c>
      <c r="AY15" s="74">
        <v>383</v>
      </c>
      <c r="AZ15" s="75">
        <v>5.8999999999999997E-2</v>
      </c>
      <c r="BA15" s="75">
        <v>4.4999999999999998E-2</v>
      </c>
      <c r="BB15" s="75">
        <v>6.0999999999999999E-2</v>
      </c>
      <c r="BC15" s="76">
        <v>509</v>
      </c>
      <c r="BD15" s="395">
        <f t="shared" si="2"/>
        <v>17.07</v>
      </c>
      <c r="BE15" s="395"/>
      <c r="BF15" s="395"/>
      <c r="BG15" s="396">
        <f t="shared" si="0"/>
        <v>8855</v>
      </c>
      <c r="BH15" s="402">
        <f t="shared" si="3"/>
        <v>0.48899999999999999</v>
      </c>
      <c r="BI15" s="402"/>
      <c r="BJ15" s="402"/>
      <c r="BK15" s="403">
        <v>4616</v>
      </c>
      <c r="BL15" s="404">
        <v>0.65679999999999994</v>
      </c>
      <c r="BM15" s="404"/>
      <c r="BN15" s="404"/>
      <c r="BO15" s="405">
        <v>5175</v>
      </c>
      <c r="BP15" s="406">
        <v>730</v>
      </c>
      <c r="BQ15" s="406">
        <v>487</v>
      </c>
    </row>
    <row r="16" spans="1:69" ht="16.5" hidden="1" customHeight="1" x14ac:dyDescent="0.2">
      <c r="A16" s="219" t="s">
        <v>348</v>
      </c>
      <c r="B16" s="58" t="s">
        <v>84</v>
      </c>
      <c r="C16" s="20" t="s">
        <v>389</v>
      </c>
      <c r="D16" s="20" t="s">
        <v>116</v>
      </c>
      <c r="E16" s="21">
        <v>2019</v>
      </c>
      <c r="F16" s="60">
        <v>24</v>
      </c>
      <c r="G16" s="60">
        <v>1337</v>
      </c>
      <c r="H16" s="22">
        <f t="shared" si="1"/>
        <v>55.708333333333336</v>
      </c>
      <c r="I16" s="61">
        <v>11.58</v>
      </c>
      <c r="J16" s="61">
        <v>9.35</v>
      </c>
      <c r="K16" s="61">
        <v>11.92</v>
      </c>
      <c r="L16" s="62">
        <v>7227</v>
      </c>
      <c r="M16" s="42">
        <v>0.24</v>
      </c>
      <c r="N16" s="42">
        <v>0.18</v>
      </c>
      <c r="O16" s="42">
        <v>0.56999999999999995</v>
      </c>
      <c r="P16" s="43">
        <v>162</v>
      </c>
      <c r="Q16" s="40">
        <v>0</v>
      </c>
      <c r="R16" s="40">
        <v>0</v>
      </c>
      <c r="S16" s="40">
        <v>0</v>
      </c>
      <c r="T16" s="40">
        <v>0</v>
      </c>
      <c r="U16" s="63">
        <v>3.9E-2</v>
      </c>
      <c r="V16" s="63">
        <v>8.9999999999999993E-3</v>
      </c>
      <c r="W16" s="63">
        <v>6.0999999999999999E-2</v>
      </c>
      <c r="X16" s="78">
        <v>352</v>
      </c>
      <c r="Y16" s="65">
        <v>5.1999999999999998E-2</v>
      </c>
      <c r="Z16" s="65">
        <v>4.9000000000000002E-2</v>
      </c>
      <c r="AA16" s="65">
        <v>5.7000000000000002E-2</v>
      </c>
      <c r="AB16" s="66">
        <v>413</v>
      </c>
      <c r="AC16" s="67">
        <v>0.16200000000000001</v>
      </c>
      <c r="AD16" s="67">
        <v>0.113</v>
      </c>
      <c r="AE16" s="67">
        <v>0.19900000000000001</v>
      </c>
      <c r="AF16" s="77">
        <v>1232</v>
      </c>
      <c r="AG16" s="359">
        <v>7.5999999999999998E-2</v>
      </c>
      <c r="AH16" s="359">
        <v>6.4000000000000001E-2</v>
      </c>
      <c r="AI16" s="359">
        <v>8.3000000000000004E-2</v>
      </c>
      <c r="AJ16" s="360">
        <v>549</v>
      </c>
      <c r="AK16" s="69">
        <v>0.128</v>
      </c>
      <c r="AL16" s="69">
        <v>6.8000000000000005E-2</v>
      </c>
      <c r="AM16" s="69">
        <v>0.159</v>
      </c>
      <c r="AN16" s="376">
        <v>0.15150000000000002</v>
      </c>
      <c r="AO16" s="376">
        <v>0.10059999999999999</v>
      </c>
      <c r="AP16" s="377"/>
      <c r="AQ16" s="378">
        <v>992</v>
      </c>
      <c r="AR16" s="71">
        <v>6.6000000000000003E-2</v>
      </c>
      <c r="AS16" s="71">
        <v>4.5999999999999999E-2</v>
      </c>
      <c r="AT16" s="71">
        <v>0.09</v>
      </c>
      <c r="AU16" s="72">
        <v>570</v>
      </c>
      <c r="AV16" s="73">
        <v>4.2999999999999997E-2</v>
      </c>
      <c r="AW16" s="73">
        <v>3.7999999999999999E-2</v>
      </c>
      <c r="AX16" s="73">
        <v>5.0999999999999997E-2</v>
      </c>
      <c r="AY16" s="74">
        <v>325</v>
      </c>
      <c r="AZ16" s="75">
        <v>4.2000000000000003E-2</v>
      </c>
      <c r="BA16" s="75">
        <v>0.03</v>
      </c>
      <c r="BB16" s="75">
        <v>5.1999999999999998E-2</v>
      </c>
      <c r="BC16" s="76">
        <v>322</v>
      </c>
      <c r="BD16" s="395">
        <f t="shared" si="2"/>
        <v>11.82</v>
      </c>
      <c r="BE16" s="395"/>
      <c r="BF16" s="395"/>
      <c r="BG16" s="396">
        <f t="shared" si="0"/>
        <v>7389</v>
      </c>
      <c r="BH16" s="402">
        <f t="shared" si="3"/>
        <v>0.52700000000000002</v>
      </c>
      <c r="BI16" s="402"/>
      <c r="BJ16" s="402"/>
      <c r="BK16" s="403">
        <v>3774</v>
      </c>
      <c r="BL16" s="404">
        <v>0.60259999999999991</v>
      </c>
      <c r="BM16" s="404"/>
      <c r="BN16" s="404"/>
      <c r="BO16" s="405">
        <v>4180</v>
      </c>
      <c r="BP16" s="406">
        <v>1285</v>
      </c>
      <c r="BQ16" s="406">
        <v>851</v>
      </c>
    </row>
    <row r="17" spans="1:69" ht="16.5" hidden="1" customHeight="1" thickBot="1" x14ac:dyDescent="0.25">
      <c r="A17" s="437" t="s">
        <v>359</v>
      </c>
      <c r="B17" s="438" t="s">
        <v>84</v>
      </c>
      <c r="C17" s="79" t="s">
        <v>89</v>
      </c>
      <c r="D17" s="79" t="s">
        <v>87</v>
      </c>
      <c r="E17" s="80">
        <v>2019</v>
      </c>
      <c r="F17" s="81">
        <v>6</v>
      </c>
      <c r="G17" s="81">
        <v>531</v>
      </c>
      <c r="H17" s="439">
        <f>G17/F17</f>
        <v>88.5</v>
      </c>
      <c r="I17" s="82">
        <v>11.16</v>
      </c>
      <c r="J17" s="82">
        <v>0</v>
      </c>
      <c r="K17" s="82">
        <v>0</v>
      </c>
      <c r="L17" s="83">
        <v>7990</v>
      </c>
      <c r="M17" s="84">
        <v>0.38</v>
      </c>
      <c r="N17" s="84">
        <v>0</v>
      </c>
      <c r="O17" s="84">
        <v>0</v>
      </c>
      <c r="P17" s="85">
        <v>312</v>
      </c>
      <c r="Q17" s="86">
        <v>0</v>
      </c>
      <c r="R17" s="86">
        <v>0</v>
      </c>
      <c r="S17" s="86">
        <v>0</v>
      </c>
      <c r="T17" s="86">
        <v>0</v>
      </c>
      <c r="U17" s="87">
        <v>5.0999999999999997E-2</v>
      </c>
      <c r="V17" s="87">
        <v>0</v>
      </c>
      <c r="W17" s="87">
        <v>0</v>
      </c>
      <c r="X17" s="88">
        <v>378</v>
      </c>
      <c r="Y17" s="89">
        <v>4.9000000000000002E-2</v>
      </c>
      <c r="Z17" s="89">
        <v>0</v>
      </c>
      <c r="AA17" s="89">
        <v>0</v>
      </c>
      <c r="AB17" s="90">
        <v>450</v>
      </c>
      <c r="AC17" s="91">
        <v>9.0999999999999998E-2</v>
      </c>
      <c r="AD17" s="91">
        <v>0</v>
      </c>
      <c r="AE17" s="91">
        <v>0</v>
      </c>
      <c r="AF17" s="92">
        <v>672</v>
      </c>
      <c r="AG17" s="361">
        <v>9.5000000000000001E-2</v>
      </c>
      <c r="AH17" s="361">
        <v>0</v>
      </c>
      <c r="AI17" s="361">
        <v>0</v>
      </c>
      <c r="AJ17" s="362">
        <v>933</v>
      </c>
      <c r="AK17" s="93">
        <v>0.11</v>
      </c>
      <c r="AL17" s="93">
        <v>0</v>
      </c>
      <c r="AM17" s="93">
        <v>0</v>
      </c>
      <c r="AN17" s="379">
        <v>0.1527</v>
      </c>
      <c r="AO17" s="379">
        <v>0.10179999999999999</v>
      </c>
      <c r="AP17" s="380"/>
      <c r="AQ17" s="381">
        <v>992</v>
      </c>
      <c r="AR17" s="95">
        <v>9.8000000000000004E-2</v>
      </c>
      <c r="AS17" s="95">
        <v>0</v>
      </c>
      <c r="AT17" s="95">
        <v>0</v>
      </c>
      <c r="AU17" s="96">
        <v>516</v>
      </c>
      <c r="AV17" s="97">
        <v>4.4999999999999998E-2</v>
      </c>
      <c r="AW17" s="97">
        <v>0</v>
      </c>
      <c r="AX17" s="97">
        <v>0</v>
      </c>
      <c r="AY17" s="98">
        <v>371</v>
      </c>
      <c r="AZ17" s="99">
        <v>4.7E-2</v>
      </c>
      <c r="BA17" s="99">
        <v>0</v>
      </c>
      <c r="BB17" s="99">
        <v>0</v>
      </c>
      <c r="BC17" s="100">
        <v>345</v>
      </c>
      <c r="BD17" s="407">
        <f t="shared" si="2"/>
        <v>11.540000000000001</v>
      </c>
      <c r="BE17" s="407"/>
      <c r="BF17" s="407"/>
      <c r="BG17" s="408">
        <f t="shared" si="0"/>
        <v>8302</v>
      </c>
      <c r="BH17" s="409">
        <f t="shared" si="3"/>
        <v>0.48800000000000004</v>
      </c>
      <c r="BI17" s="409"/>
      <c r="BJ17" s="409"/>
      <c r="BK17" s="410">
        <v>3380</v>
      </c>
      <c r="BL17" s="411">
        <v>0.53420000000000001</v>
      </c>
      <c r="BM17" s="411"/>
      <c r="BN17" s="411"/>
      <c r="BO17" s="412">
        <v>3786</v>
      </c>
      <c r="BP17" s="413">
        <v>1304</v>
      </c>
      <c r="BQ17" s="413">
        <v>870</v>
      </c>
    </row>
    <row r="18" spans="1:69" ht="16.5" hidden="1" customHeight="1" x14ac:dyDescent="0.2">
      <c r="A18" s="20"/>
      <c r="B18" s="20"/>
      <c r="C18" s="20"/>
      <c r="D18" s="20"/>
      <c r="E18" s="21"/>
      <c r="F18" s="60"/>
      <c r="G18" s="60"/>
      <c r="H18" s="101" t="s">
        <v>90</v>
      </c>
      <c r="I18" s="61">
        <f t="shared" ref="I18:P18" si="4">MEDIAN(I4:I17)</f>
        <v>11.719999999999999</v>
      </c>
      <c r="J18" s="61">
        <f t="shared" si="4"/>
        <v>9.31</v>
      </c>
      <c r="K18" s="61">
        <f t="shared" si="4"/>
        <v>11.92</v>
      </c>
      <c r="L18" s="62">
        <f t="shared" si="4"/>
        <v>8195.5</v>
      </c>
      <c r="M18" s="61">
        <f t="shared" si="4"/>
        <v>0.315</v>
      </c>
      <c r="N18" s="61">
        <f t="shared" si="4"/>
        <v>0.13</v>
      </c>
      <c r="O18" s="61">
        <f t="shared" si="4"/>
        <v>0.35499999999999998</v>
      </c>
      <c r="P18" s="62">
        <f t="shared" si="4"/>
        <v>231.5</v>
      </c>
      <c r="Q18" s="102"/>
      <c r="R18" s="102"/>
      <c r="S18" s="102"/>
      <c r="T18" s="102"/>
      <c r="U18" s="421">
        <f t="shared" ref="U18:BF18" si="5">MEDIAN(U4:U17)</f>
        <v>4.0999999999999995E-2</v>
      </c>
      <c r="V18" s="421">
        <f t="shared" si="5"/>
        <v>8.9999999999999998E-4</v>
      </c>
      <c r="W18" s="421">
        <f t="shared" si="5"/>
        <v>3.5999999999999997E-2</v>
      </c>
      <c r="X18" s="78">
        <f t="shared" si="5"/>
        <v>343.5</v>
      </c>
      <c r="Y18" s="422">
        <f t="shared" si="5"/>
        <v>5.1999999999999998E-2</v>
      </c>
      <c r="Z18" s="422">
        <f t="shared" si="5"/>
        <v>4.4999999999999998E-2</v>
      </c>
      <c r="AA18" s="422">
        <f t="shared" si="5"/>
        <v>5.2999999999999999E-2</v>
      </c>
      <c r="AB18" s="66">
        <f t="shared" si="5"/>
        <v>450</v>
      </c>
      <c r="AC18" s="423">
        <f t="shared" si="5"/>
        <v>0.13</v>
      </c>
      <c r="AD18" s="423">
        <f t="shared" si="5"/>
        <v>5.9499999999999997E-2</v>
      </c>
      <c r="AE18" s="423">
        <f t="shared" si="5"/>
        <v>0.1285</v>
      </c>
      <c r="AF18" s="68">
        <f t="shared" si="5"/>
        <v>1165.5</v>
      </c>
      <c r="AG18" s="424">
        <f t="shared" si="5"/>
        <v>7.0999999999999994E-2</v>
      </c>
      <c r="AH18" s="424">
        <f t="shared" si="5"/>
        <v>2.1000000000000001E-2</v>
      </c>
      <c r="AI18" s="424">
        <f t="shared" si="5"/>
        <v>2.9000000000000001E-2</v>
      </c>
      <c r="AJ18" s="358">
        <f t="shared" si="5"/>
        <v>545</v>
      </c>
      <c r="AK18" s="70">
        <f t="shared" si="5"/>
        <v>0.121</v>
      </c>
      <c r="AL18" s="70">
        <f t="shared" si="5"/>
        <v>6.8000000000000005E-2</v>
      </c>
      <c r="AM18" s="70">
        <f t="shared" si="5"/>
        <v>0.122</v>
      </c>
      <c r="AN18" s="377">
        <f t="shared" si="5"/>
        <v>0.17810000000000001</v>
      </c>
      <c r="AO18" s="377">
        <f t="shared" si="5"/>
        <v>7.7649999999999997E-2</v>
      </c>
      <c r="AP18" s="377">
        <f t="shared" si="5"/>
        <v>6.93E-2</v>
      </c>
      <c r="AQ18" s="425">
        <f t="shared" si="5"/>
        <v>848.5</v>
      </c>
      <c r="AR18" s="426">
        <f>MEDIAN(AR4:AR17)</f>
        <v>6.9000000000000006E-2</v>
      </c>
      <c r="AS18" s="426">
        <f t="shared" si="5"/>
        <v>4.2999999999999997E-2</v>
      </c>
      <c r="AT18" s="426">
        <f t="shared" si="5"/>
        <v>0.09</v>
      </c>
      <c r="AU18" s="427">
        <f t="shared" si="5"/>
        <v>567</v>
      </c>
      <c r="AV18" s="428">
        <f t="shared" si="5"/>
        <v>4.2999999999999997E-2</v>
      </c>
      <c r="AW18" s="428">
        <f t="shared" si="5"/>
        <v>3.3000000000000002E-2</v>
      </c>
      <c r="AX18" s="428">
        <f t="shared" si="5"/>
        <v>4.3999999999999997E-2</v>
      </c>
      <c r="AY18" s="429">
        <f t="shared" si="5"/>
        <v>374</v>
      </c>
      <c r="AZ18" s="430">
        <f t="shared" si="5"/>
        <v>4.8500000000000001E-2</v>
      </c>
      <c r="BA18" s="430">
        <f t="shared" si="5"/>
        <v>0.03</v>
      </c>
      <c r="BB18" s="430">
        <f t="shared" si="5"/>
        <v>4.8500000000000001E-2</v>
      </c>
      <c r="BC18" s="431">
        <f t="shared" si="5"/>
        <v>423</v>
      </c>
      <c r="BD18" s="414">
        <f t="shared" si="5"/>
        <v>11.96</v>
      </c>
      <c r="BE18" s="414">
        <f t="shared" si="5"/>
        <v>6.58</v>
      </c>
      <c r="BF18" s="414">
        <f t="shared" si="5"/>
        <v>10.540000000000001</v>
      </c>
      <c r="BG18" s="396">
        <f t="shared" si="0"/>
        <v>8427</v>
      </c>
      <c r="BH18" s="432">
        <v>0.49869999999999992</v>
      </c>
      <c r="BI18" s="432">
        <v>0.34330000000000005</v>
      </c>
      <c r="BJ18" s="432">
        <v>0.51919999999999999</v>
      </c>
      <c r="BK18" s="433">
        <f>MEDIAN(BK4:BK17)</f>
        <v>3211</v>
      </c>
      <c r="BL18" s="434">
        <v>0.53839999999999988</v>
      </c>
      <c r="BM18" s="434">
        <v>0.37470000000000003</v>
      </c>
      <c r="BN18" s="434">
        <v>0.5726</v>
      </c>
      <c r="BO18" s="435">
        <f>MEDIAN(BO4:BO17)</f>
        <v>3642.5</v>
      </c>
      <c r="BP18" s="436">
        <f>MEDIAN(BP4:BP17)</f>
        <v>1320</v>
      </c>
      <c r="BQ18" s="436">
        <f>MEDIAN(BQ4:BQ17)</f>
        <v>543</v>
      </c>
    </row>
    <row r="19" spans="1:69" ht="16.5" hidden="1" customHeight="1" thickBot="1" x14ac:dyDescent="0.25">
      <c r="A19" s="116" t="s">
        <v>92</v>
      </c>
      <c r="B19" s="20"/>
      <c r="C19" s="20"/>
      <c r="D19" s="20"/>
      <c r="E19" s="21"/>
      <c r="F19" s="60"/>
      <c r="G19" s="60"/>
      <c r="H19" s="101" t="s">
        <v>91</v>
      </c>
      <c r="I19" s="82">
        <f t="shared" ref="I19:P19" si="6">AVERAGE(I4:I17)</f>
        <v>12.29857142857143</v>
      </c>
      <c r="J19" s="82">
        <f t="shared" si="6"/>
        <v>6.9899999999999993</v>
      </c>
      <c r="K19" s="82">
        <f t="shared" si="6"/>
        <v>8.5930769230769233</v>
      </c>
      <c r="L19" s="83">
        <f t="shared" si="6"/>
        <v>8002.8571428571431</v>
      </c>
      <c r="M19" s="82">
        <f t="shared" si="6"/>
        <v>0.37928571428571428</v>
      </c>
      <c r="N19" s="82">
        <f t="shared" si="6"/>
        <v>0.17714285714285713</v>
      </c>
      <c r="O19" s="82">
        <f t="shared" si="6"/>
        <v>0.38428571428571429</v>
      </c>
      <c r="P19" s="83">
        <f t="shared" si="6"/>
        <v>240.35714285714286</v>
      </c>
      <c r="Q19" s="103"/>
      <c r="R19" s="103"/>
      <c r="S19" s="103"/>
      <c r="T19" s="104"/>
      <c r="U19" s="105">
        <f t="shared" ref="U19:BF19" si="7">AVERAGE(U4:U17)</f>
        <v>4.0571428571428578E-2</v>
      </c>
      <c r="V19" s="105">
        <f t="shared" si="7"/>
        <v>7.6285714285714281E-3</v>
      </c>
      <c r="W19" s="105">
        <f t="shared" si="7"/>
        <v>3.157142857142857E-2</v>
      </c>
      <c r="X19" s="106">
        <f t="shared" si="7"/>
        <v>342.92857142857144</v>
      </c>
      <c r="Y19" s="107">
        <f t="shared" si="7"/>
        <v>5.4357142857142875E-2</v>
      </c>
      <c r="Z19" s="107">
        <f t="shared" si="7"/>
        <v>2.6857142857142854E-2</v>
      </c>
      <c r="AA19" s="107">
        <f t="shared" si="7"/>
        <v>3.2500000000000001E-2</v>
      </c>
      <c r="AB19" s="90">
        <f t="shared" si="7"/>
        <v>448.14285714285717</v>
      </c>
      <c r="AC19" s="108">
        <f t="shared" si="7"/>
        <v>0.13028571428571428</v>
      </c>
      <c r="AD19" s="108">
        <f t="shared" si="7"/>
        <v>6.7571428571428574E-2</v>
      </c>
      <c r="AE19" s="108">
        <f t="shared" si="7"/>
        <v>9.9928571428571436E-2</v>
      </c>
      <c r="AF19" s="346">
        <f t="shared" si="7"/>
        <v>1127.0714285714287</v>
      </c>
      <c r="AG19" s="363">
        <f t="shared" si="7"/>
        <v>6.9857142857142854E-2</v>
      </c>
      <c r="AH19" s="363">
        <f t="shared" si="7"/>
        <v>2.5714285714285714E-2</v>
      </c>
      <c r="AI19" s="363">
        <f t="shared" si="7"/>
        <v>3.892857142857143E-2</v>
      </c>
      <c r="AJ19" s="364">
        <f t="shared" si="7"/>
        <v>622.42857142857144</v>
      </c>
      <c r="AK19" s="94">
        <f t="shared" si="7"/>
        <v>0.12242857142857144</v>
      </c>
      <c r="AL19" s="94">
        <f t="shared" si="7"/>
        <v>5.164285714285715E-2</v>
      </c>
      <c r="AM19" s="94">
        <f t="shared" si="7"/>
        <v>8.3071428571428574E-2</v>
      </c>
      <c r="AN19" s="380">
        <f t="shared" si="7"/>
        <v>0.18690000000000001</v>
      </c>
      <c r="AO19" s="380">
        <f t="shared" si="7"/>
        <v>7.2850000000000012E-2</v>
      </c>
      <c r="AP19" s="380">
        <f t="shared" si="7"/>
        <v>7.3175000000000004E-2</v>
      </c>
      <c r="AQ19" s="382">
        <f t="shared" si="7"/>
        <v>921.92857142857144</v>
      </c>
      <c r="AR19" s="109">
        <f t="shared" si="7"/>
        <v>7.4500000000000011E-2</v>
      </c>
      <c r="AS19" s="109">
        <f t="shared" si="7"/>
        <v>2.7999999999999997E-2</v>
      </c>
      <c r="AT19" s="109">
        <f t="shared" si="7"/>
        <v>5.6642857142857141E-2</v>
      </c>
      <c r="AU19" s="347">
        <f t="shared" si="7"/>
        <v>620.14285714285711</v>
      </c>
      <c r="AV19" s="110">
        <f t="shared" si="7"/>
        <v>4.2857142857142858E-2</v>
      </c>
      <c r="AW19" s="110">
        <f t="shared" si="7"/>
        <v>2.1357142857142856E-2</v>
      </c>
      <c r="AX19" s="110">
        <f t="shared" si="7"/>
        <v>2.7357142857142854E-2</v>
      </c>
      <c r="AY19" s="348">
        <f t="shared" si="7"/>
        <v>362.92857142857144</v>
      </c>
      <c r="AZ19" s="349">
        <f t="shared" si="7"/>
        <v>4.9857142857142864E-2</v>
      </c>
      <c r="BA19" s="349">
        <f t="shared" si="7"/>
        <v>2.1000000000000001E-2</v>
      </c>
      <c r="BB19" s="349">
        <f t="shared" si="7"/>
        <v>3.4499999999999996E-2</v>
      </c>
      <c r="BC19" s="350">
        <f t="shared" si="7"/>
        <v>420.57142857142856</v>
      </c>
      <c r="BD19" s="415">
        <f t="shared" si="7"/>
        <v>12.677857142857141</v>
      </c>
      <c r="BE19" s="415">
        <f t="shared" si="7"/>
        <v>7.2633333333333328</v>
      </c>
      <c r="BF19" s="415">
        <f t="shared" si="7"/>
        <v>9.67</v>
      </c>
      <c r="BG19" s="408">
        <f t="shared" ref="BG19" si="8">L19+P19</f>
        <v>8243.2142857142862</v>
      </c>
      <c r="BH19" s="416">
        <v>0.50073333333333325</v>
      </c>
      <c r="BI19" s="416">
        <v>0.33756666666666674</v>
      </c>
      <c r="BJ19" s="416">
        <v>0.5142000000000001</v>
      </c>
      <c r="BK19" s="417">
        <f>AVERAGE(BK4:BK17)</f>
        <v>3425.0714285714284</v>
      </c>
      <c r="BL19" s="418">
        <v>0.55132666666666663</v>
      </c>
      <c r="BM19" s="418">
        <v>0.37863333333333332</v>
      </c>
      <c r="BN19" s="418">
        <v>0.5517333333333333</v>
      </c>
      <c r="BO19" s="419">
        <f>AVERAGE(BO4:BO17)</f>
        <v>3845.3571428571427</v>
      </c>
      <c r="BP19" s="420">
        <f>AVERAGE(BP4:BP17)</f>
        <v>1432.7857142857142</v>
      </c>
      <c r="BQ19" s="420">
        <f>AVERAGE(BQ4:BQ17)</f>
        <v>579.57142857142856</v>
      </c>
    </row>
    <row r="20" spans="1:69" ht="16.5" hidden="1" customHeight="1" x14ac:dyDescent="0.2">
      <c r="A20" s="116" t="s">
        <v>93</v>
      </c>
      <c r="B20" s="20"/>
      <c r="C20" s="20"/>
      <c r="D20" s="20"/>
      <c r="E20" s="21"/>
      <c r="F20" s="60"/>
      <c r="G20" s="60"/>
      <c r="H20" s="101"/>
      <c r="I20" s="384" t="s">
        <v>343</v>
      </c>
      <c r="J20" s="59"/>
      <c r="K20" s="59"/>
      <c r="L20" s="111"/>
      <c r="M20" s="112"/>
      <c r="N20" s="112"/>
      <c r="O20" s="112"/>
      <c r="P20" s="113"/>
      <c r="Q20" s="20"/>
      <c r="R20" s="20"/>
      <c r="S20" s="20"/>
      <c r="T20" s="114"/>
      <c r="U20" s="20"/>
      <c r="V20" s="20"/>
      <c r="W20" s="20"/>
      <c r="X20" s="111"/>
      <c r="Z20" s="20"/>
      <c r="AA20" s="20"/>
      <c r="AB20" s="115"/>
      <c r="AC20" s="20"/>
      <c r="AD20" s="20"/>
      <c r="AE20" s="20"/>
      <c r="AF20" s="111"/>
      <c r="AG20" s="383" t="s">
        <v>344</v>
      </c>
      <c r="AH20" s="111"/>
      <c r="AI20" s="111"/>
      <c r="AJ20" s="111"/>
      <c r="AK20" s="219" t="s">
        <v>335</v>
      </c>
      <c r="AL20" s="385"/>
      <c r="AM20" s="385"/>
      <c r="AN20" s="386"/>
      <c r="AO20" s="386"/>
      <c r="AP20" s="386"/>
      <c r="AQ20" s="387"/>
      <c r="AR20" s="219" t="s">
        <v>345</v>
      </c>
      <c r="AS20" s="20"/>
      <c r="AT20" s="20"/>
      <c r="AU20" s="20"/>
      <c r="AV20" s="219" t="s">
        <v>346</v>
      </c>
      <c r="AW20" s="20"/>
      <c r="AX20" s="20"/>
      <c r="AY20" s="20"/>
      <c r="AZ20" s="219" t="s">
        <v>336</v>
      </c>
      <c r="BA20" s="20"/>
      <c r="BB20" s="20"/>
      <c r="BC20" s="111"/>
      <c r="BD20" s="691" t="s">
        <v>338</v>
      </c>
      <c r="BE20" s="691"/>
      <c r="BF20" s="691"/>
      <c r="BG20" s="691"/>
      <c r="BH20" s="691"/>
      <c r="BI20" s="691"/>
      <c r="BJ20" s="691"/>
      <c r="BK20" s="691"/>
      <c r="BL20" s="691"/>
      <c r="BM20" s="691"/>
      <c r="BN20" s="691"/>
      <c r="BO20" s="691"/>
    </row>
    <row r="21" spans="1:69" ht="16.5" hidden="1" customHeight="1" x14ac:dyDescent="0.2">
      <c r="B21" s="20"/>
      <c r="C21" s="20"/>
      <c r="D21" s="20"/>
      <c r="E21" s="21"/>
      <c r="F21" s="60"/>
      <c r="G21" s="60"/>
      <c r="H21" s="60"/>
      <c r="I21" s="59"/>
      <c r="J21" s="59"/>
      <c r="K21" s="59"/>
      <c r="L21" s="111"/>
      <c r="M21" s="59"/>
      <c r="N21" s="59"/>
      <c r="O21" s="59"/>
      <c r="P21" s="20"/>
      <c r="Q21" s="20"/>
      <c r="R21" s="20"/>
      <c r="S21" s="20"/>
      <c r="T21" s="20"/>
      <c r="U21" s="20"/>
      <c r="V21" s="20"/>
      <c r="W21" s="20"/>
      <c r="X21" s="111"/>
      <c r="Y21" s="20"/>
      <c r="Z21" s="20"/>
      <c r="AA21" s="20"/>
      <c r="AB21" s="115"/>
      <c r="AC21" s="20"/>
      <c r="AD21" s="20"/>
      <c r="AE21" s="20"/>
      <c r="AF21" s="111"/>
      <c r="AG21" s="111"/>
      <c r="AH21" s="111"/>
      <c r="AI21" s="111"/>
      <c r="AJ21" s="111"/>
      <c r="AK21" s="219" t="s">
        <v>347</v>
      </c>
      <c r="AL21" s="20"/>
      <c r="AM21" s="20"/>
      <c r="AN21" s="20"/>
      <c r="AO21" s="20"/>
      <c r="AP21" s="59"/>
      <c r="AQ21" s="20"/>
      <c r="AR21" s="20"/>
      <c r="AS21" s="20"/>
      <c r="AT21" s="20"/>
      <c r="AU21" s="20"/>
      <c r="AV21" s="20"/>
      <c r="AW21" s="20"/>
      <c r="AX21" s="20"/>
      <c r="AY21" s="20"/>
      <c r="AZ21" s="365" t="s">
        <v>337</v>
      </c>
      <c r="BA21" s="20"/>
      <c r="BB21" s="20"/>
      <c r="BC21" s="111"/>
      <c r="BD21" s="711" t="s">
        <v>339</v>
      </c>
      <c r="BE21" s="711"/>
      <c r="BF21" s="711"/>
      <c r="BG21" s="711"/>
      <c r="BH21" s="711"/>
      <c r="BI21" s="711"/>
      <c r="BJ21" s="711"/>
      <c r="BK21" s="711"/>
      <c r="BL21" s="711"/>
      <c r="BM21" s="711"/>
      <c r="BN21" s="711"/>
      <c r="BO21" s="711"/>
    </row>
    <row r="22" spans="1:69" ht="33" hidden="1" customHeight="1" x14ac:dyDescent="0.3">
      <c r="A22" s="712" t="s">
        <v>366</v>
      </c>
      <c r="B22" s="712"/>
      <c r="C22" s="712"/>
      <c r="D22" s="712"/>
      <c r="E22" s="712"/>
      <c r="F22" s="712"/>
      <c r="G22" s="712"/>
      <c r="H22" s="20"/>
      <c r="I22" s="440" t="s">
        <v>365</v>
      </c>
      <c r="J22" s="441"/>
      <c r="K22" s="441"/>
      <c r="L22" s="442"/>
      <c r="M22" s="441"/>
      <c r="N22" s="441"/>
      <c r="O22" s="443"/>
      <c r="P22" s="444"/>
      <c r="Q22" s="444"/>
      <c r="R22" s="444"/>
      <c r="S22" s="20"/>
      <c r="T22" s="20"/>
      <c r="U22" s="20"/>
      <c r="V22" s="20"/>
      <c r="W22" s="20"/>
      <c r="X22" s="111"/>
      <c r="Y22" s="20"/>
      <c r="Z22" s="20"/>
      <c r="AA22" s="20"/>
      <c r="AB22" s="115"/>
      <c r="AC22" s="20"/>
      <c r="AD22" s="20"/>
      <c r="AE22" s="20"/>
      <c r="AF22" s="111"/>
      <c r="AG22" s="111"/>
      <c r="AH22" s="111"/>
      <c r="AI22" s="111"/>
      <c r="AJ22" s="111"/>
      <c r="AK22" s="219" t="s">
        <v>334</v>
      </c>
      <c r="AL22" s="20"/>
      <c r="AM22" s="20"/>
      <c r="AN22" s="20"/>
      <c r="AO22" s="20"/>
      <c r="AP22" s="59"/>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row>
    <row r="23" spans="1:69" ht="16.5" customHeight="1" x14ac:dyDescent="0.2">
      <c r="A23" s="345"/>
      <c r="B23" s="713"/>
      <c r="C23" s="713"/>
      <c r="D23" s="713"/>
      <c r="E23" s="713"/>
      <c r="F23" s="713"/>
    </row>
    <row r="24" spans="1:69" ht="16.5" customHeight="1" x14ac:dyDescent="0.2">
      <c r="C24" s="345"/>
      <c r="D24" s="345"/>
      <c r="E24" s="345"/>
      <c r="F24" s="345"/>
      <c r="H24" s="388"/>
    </row>
    <row r="25" spans="1:69" ht="16.5" customHeight="1" x14ac:dyDescent="0.2">
      <c r="A25" s="226"/>
      <c r="B25" s="390"/>
    </row>
    <row r="26" spans="1:69" ht="16.5" customHeight="1" x14ac:dyDescent="0.2">
      <c r="A26" s="226"/>
      <c r="B26" s="219"/>
    </row>
    <row r="27" spans="1:69" ht="16.5" customHeight="1" x14ac:dyDescent="0.2">
      <c r="A27" s="226"/>
      <c r="B27" s="219"/>
      <c r="C27" s="19"/>
    </row>
    <row r="28" spans="1:69" ht="16.5" customHeight="1" x14ac:dyDescent="0.2">
      <c r="A28" s="226"/>
      <c r="B28" s="219"/>
      <c r="C28" s="19"/>
      <c r="I28" s="219"/>
    </row>
    <row r="29" spans="1:69" ht="16.5" customHeight="1" x14ac:dyDescent="0.2">
      <c r="A29" s="226"/>
      <c r="B29" s="219"/>
      <c r="C29" s="219"/>
    </row>
    <row r="30" spans="1:69" ht="16.5" customHeight="1" x14ac:dyDescent="0.2">
      <c r="A30" s="226"/>
      <c r="B30" s="219"/>
      <c r="C30" s="19"/>
    </row>
    <row r="31" spans="1:69" ht="16.5" customHeight="1" x14ac:dyDescent="0.2">
      <c r="A31" s="226"/>
      <c r="B31" s="219"/>
      <c r="C31" s="19"/>
    </row>
    <row r="32" spans="1:69" ht="16.5" customHeight="1" x14ac:dyDescent="0.2">
      <c r="A32" s="226"/>
      <c r="B32" s="219"/>
      <c r="C32" s="19"/>
    </row>
    <row r="33" spans="1:3" ht="16.5" customHeight="1" x14ac:dyDescent="0.2">
      <c r="A33" s="226"/>
      <c r="B33" s="219"/>
      <c r="C33" s="19"/>
    </row>
    <row r="34" spans="1:3" ht="16.5" customHeight="1" x14ac:dyDescent="0.2">
      <c r="A34" s="226"/>
      <c r="B34" s="219"/>
      <c r="C34" s="19"/>
    </row>
    <row r="35" spans="1:3" ht="16.5" customHeight="1" x14ac:dyDescent="0.2">
      <c r="A35" s="226"/>
      <c r="B35" s="219"/>
      <c r="C35" s="19"/>
    </row>
    <row r="36" spans="1:3" ht="16.5" customHeight="1" x14ac:dyDescent="0.2">
      <c r="A36" s="226"/>
      <c r="B36" s="219"/>
    </row>
    <row r="37" spans="1:3" ht="16.5" customHeight="1" x14ac:dyDescent="0.2">
      <c r="A37" s="226"/>
      <c r="B37" s="219"/>
    </row>
    <row r="38" spans="1:3" ht="16.5" customHeight="1" x14ac:dyDescent="0.2">
      <c r="A38" s="226"/>
      <c r="B38" s="219"/>
    </row>
    <row r="39" spans="1:3" ht="16.5" customHeight="1" x14ac:dyDescent="0.2">
      <c r="A39" s="391"/>
      <c r="B39" s="19"/>
      <c r="C39" s="19"/>
    </row>
    <row r="40" spans="1:3" ht="16.5" customHeight="1" x14ac:dyDescent="0.2">
      <c r="A40" s="389"/>
    </row>
  </sheetData>
  <sheetProtection algorithmName="SHA-512" hashValue="bzroe4yp2an3IfHQQbT/yUEormqgp7wLBMT1GXQsOMCIg5TYFtl8tGLXmiFcIM9thD5jmsGo90F10gdLhI13Og==" saltValue="kXsgHsFTlT0fZzu5qHJu4g==" spinCount="100000" sheet="1" objects="1" scenarios="1" selectLockedCells="1" selectUnlockedCells="1"/>
  <mergeCells count="20">
    <mergeCell ref="A22:G22"/>
    <mergeCell ref="B23:F23"/>
    <mergeCell ref="BD2:BG2"/>
    <mergeCell ref="BH2:BK2"/>
    <mergeCell ref="BL2:BO2"/>
    <mergeCell ref="I2:L2"/>
    <mergeCell ref="M2:P2"/>
    <mergeCell ref="Q2:T2"/>
    <mergeCell ref="U2:X2"/>
    <mergeCell ref="Y2:AB2"/>
    <mergeCell ref="AC2:AF2"/>
    <mergeCell ref="BP2:BQ2"/>
    <mergeCell ref="BD20:BO20"/>
    <mergeCell ref="BD21:BO21"/>
    <mergeCell ref="AG2:AJ2"/>
    <mergeCell ref="AK2:AM2"/>
    <mergeCell ref="AN2:AQ2"/>
    <mergeCell ref="AR2:AU2"/>
    <mergeCell ref="AV2:AY2"/>
    <mergeCell ref="AZ2:BC2"/>
  </mergeCells>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PVD2024</vt:lpstr>
      <vt:lpstr>IREMEx</vt:lpstr>
      <vt:lpstr>IREMEx(2)</vt:lpstr>
      <vt:lpstr>'PVD2024'!CountyName</vt:lpstr>
      <vt:lpstr>'PVD2024'!CountyNo</vt:lpstr>
      <vt:lpstr>'PVD2024'!No._of_Baths</vt:lpstr>
      <vt:lpstr>'PVD2024'!Print_Area</vt:lpstr>
      <vt:lpstr>'PVD2024'!Program_Type</vt:lpstr>
    </vt:vector>
  </TitlesOfParts>
  <Company>City of Cedar Rapids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scottl</dc:creator>
  <cp:lastModifiedBy>Bob</cp:lastModifiedBy>
  <cp:lastPrinted>2023-11-03T17:13:53Z</cp:lastPrinted>
  <dcterms:created xsi:type="dcterms:W3CDTF">2002-05-20T14:14:28Z</dcterms:created>
  <dcterms:modified xsi:type="dcterms:W3CDTF">2023-11-07T20:05:40Z</dcterms:modified>
</cp:coreProperties>
</file>